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00" windowHeight="8565" tabRatio="640" activeTab="0"/>
  </bookViews>
  <sheets>
    <sheet name="Indice" sheetId="1" r:id="rId1"/>
    <sheet name="1" sheetId="2" r:id="rId2"/>
    <sheet name="2" sheetId="3" r:id="rId3"/>
    <sheet name="3" sheetId="4" r:id="rId4"/>
  </sheets>
  <definedNames/>
  <calcPr fullCalcOnLoad="1"/>
</workbook>
</file>

<file path=xl/sharedStrings.xml><?xml version="1.0" encoding="utf-8"?>
<sst xmlns="http://schemas.openxmlformats.org/spreadsheetml/2006/main" count="136" uniqueCount="56">
  <si>
    <t>Rubricas / Campanha</t>
  </si>
  <si>
    <t>2000/2001</t>
  </si>
  <si>
    <t>2001/2002</t>
  </si>
  <si>
    <t>2002/2003</t>
  </si>
  <si>
    <t>2003/2004</t>
  </si>
  <si>
    <t>2004/2005</t>
  </si>
  <si>
    <t>2005/2006</t>
  </si>
  <si>
    <t>2006/2007</t>
  </si>
  <si>
    <t>2007/2008</t>
  </si>
  <si>
    <t>2008/2009</t>
  </si>
  <si>
    <t>2009/2010</t>
  </si>
  <si>
    <t>2010/2011</t>
  </si>
  <si>
    <t>Disponibilidade Total</t>
  </si>
  <si>
    <t>Exportações</t>
  </si>
  <si>
    <t>Consumo Humano</t>
  </si>
  <si>
    <t>Utilização Industrial</t>
  </si>
  <si>
    <t>Perdas</t>
  </si>
  <si>
    <t>Stock Final</t>
  </si>
  <si>
    <t>Variação de Existências</t>
  </si>
  <si>
    <t xml:space="preserve">2011/2012 </t>
  </si>
  <si>
    <r>
      <t xml:space="preserve">Fonte: </t>
    </r>
    <r>
      <rPr>
        <i/>
        <sz val="9"/>
        <color indexed="8"/>
        <rFont val="Calibri"/>
        <family val="2"/>
      </rPr>
      <t>INE, IP | IVV, IP</t>
    </r>
  </si>
  <si>
    <t>2012/2013</t>
  </si>
  <si>
    <t>2014/2015</t>
  </si>
  <si>
    <t>2013/2014</t>
  </si>
  <si>
    <t>Existências Iniciais</t>
  </si>
  <si>
    <t xml:space="preserve">Produção </t>
  </si>
  <si>
    <t>Importação</t>
  </si>
  <si>
    <t>Países Terceiros</t>
  </si>
  <si>
    <t>2015/2016</t>
  </si>
  <si>
    <t>206/2017</t>
  </si>
  <si>
    <t>2017/2018</t>
  </si>
  <si>
    <t>2018/2019</t>
  </si>
  <si>
    <t>2019/2020</t>
  </si>
  <si>
    <t>2020/2021</t>
  </si>
  <si>
    <t>Países EU</t>
  </si>
  <si>
    <t>Países terceiros</t>
  </si>
  <si>
    <t>Produção</t>
  </si>
  <si>
    <t xml:space="preserve"> Comércio</t>
  </si>
  <si>
    <t xml:space="preserve"> Destilação Voluntária</t>
  </si>
  <si>
    <t>Destilação - Subprodutos</t>
  </si>
  <si>
    <t>Destilação</t>
  </si>
  <si>
    <t>Produção de Vinagre</t>
  </si>
  <si>
    <t>Comércio</t>
  </si>
  <si>
    <t>* Provisório</t>
  </si>
  <si>
    <t>BALANÇO DE APROVISIONAMENTO</t>
  </si>
  <si>
    <t>1. Evolução do Aprovisionamento de Vinho em Portugal</t>
  </si>
  <si>
    <t>2. Evolução do Aprovisionamento de Vinho Certificado (DO + IG) em Portugal</t>
  </si>
  <si>
    <t>3. Evolução do Aprovisionamento de Vinho não Certificado (sem DO e sem IG) em Portugal</t>
  </si>
  <si>
    <t>DO VINHO EM PORTUGAL</t>
  </si>
  <si>
    <t>2022/2023*</t>
  </si>
  <si>
    <t>2021/2022</t>
  </si>
  <si>
    <t xml:space="preserve"> Destilação de crise</t>
  </si>
  <si>
    <t>Destilação de Crise</t>
  </si>
  <si>
    <t>Evolução do Aprovisionamento de Vinho Certificado (DO + IG) em Portugal (1000 HL)</t>
  </si>
  <si>
    <t>Evolução do Aprovisionamento de Vinho não Certificado (sem DO e sem IG) em Portugal (1000 HL)</t>
  </si>
  <si>
    <t>Evolução do Aprovisionamento de Vinho em Portugal (1000 HL)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</si>
</sst>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9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i/>
      <sz val="11"/>
      <color indexed="8"/>
      <name val="Calibri"/>
      <family val="2"/>
    </font>
    <font>
      <b/>
      <sz val="9"/>
      <color indexed="8"/>
      <name val="Calibri"/>
      <family val="2"/>
    </font>
    <font>
      <b/>
      <i/>
      <sz val="11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49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i/>
      <sz val="11"/>
      <color theme="1"/>
      <name val="Calibri"/>
      <family val="2"/>
    </font>
    <font>
      <b/>
      <sz val="9"/>
      <color theme="1"/>
      <name val="Calibri"/>
      <family val="2"/>
    </font>
    <font>
      <b/>
      <i/>
      <sz val="11"/>
      <color theme="1"/>
      <name val="Calibri"/>
      <family val="2"/>
    </font>
    <font>
      <sz val="14"/>
      <color theme="1"/>
      <name val="Calibri"/>
      <family val="2"/>
    </font>
    <font>
      <b/>
      <sz val="14"/>
      <color theme="8" tint="-0.2499700039625167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theme="0"/>
      </left>
      <right style="medium">
        <color theme="0"/>
      </right>
      <top style="medium">
        <color theme="8" tint="-0.24993999302387238"/>
      </top>
      <bottom style="medium">
        <color theme="8" tint="-0.24993999302387238"/>
      </bottom>
    </border>
    <border>
      <left style="medium">
        <color theme="8" tint="-0.24993999302387238"/>
      </left>
      <right style="medium">
        <color theme="8" tint="-0.24993999302387238"/>
      </right>
      <top/>
      <bottom/>
    </border>
    <border>
      <left style="medium">
        <color theme="8" tint="-0.24993999302387238"/>
      </left>
      <right/>
      <top>
        <color indexed="63"/>
      </top>
      <bottom>
        <color indexed="63"/>
      </bottom>
    </border>
    <border>
      <left style="medium">
        <color theme="8" tint="-0.24993999302387238"/>
      </left>
      <right style="medium">
        <color theme="8" tint="-0.24993999302387238"/>
      </right>
      <top style="medium">
        <color theme="8" tint="-0.24993999302387238"/>
      </top>
      <bottom style="medium">
        <color theme="8" tint="-0.24993999302387238"/>
      </bottom>
    </border>
    <border>
      <left style="medium">
        <color theme="8" tint="-0.24993999302387238"/>
      </left>
      <right/>
      <top style="medium">
        <color theme="8" tint="-0.24993999302387238"/>
      </top>
      <bottom style="medium">
        <color theme="8" tint="-0.24993999302387238"/>
      </bottom>
    </border>
    <border>
      <left/>
      <right/>
      <top style="medium">
        <color theme="8" tint="-0.24993999302387238"/>
      </top>
      <bottom style="medium">
        <color theme="8" tint="-0.24993999302387238"/>
      </bottom>
    </border>
    <border>
      <left style="medium">
        <color theme="8" tint="-0.24993999302387238"/>
      </left>
      <right/>
      <top style="thin">
        <color theme="8" tint="-0.24993999302387238"/>
      </top>
      <bottom style="thin">
        <color theme="8" tint="-0.24993999302387238"/>
      </bottom>
    </border>
    <border>
      <left/>
      <right/>
      <top style="thin">
        <color theme="8" tint="-0.24993999302387238"/>
      </top>
      <bottom style="thin">
        <color theme="8" tint="-0.24993999302387238"/>
      </bottom>
    </border>
    <border>
      <left style="medium">
        <color theme="8" tint="-0.24993999302387238"/>
      </left>
      <right style="medium">
        <color theme="8" tint="-0.24993999302387238"/>
      </right>
      <top style="thin">
        <color theme="8" tint="-0.24993999302387238"/>
      </top>
      <bottom style="thin">
        <color theme="8" tint="-0.24993999302387238"/>
      </bottom>
    </border>
    <border>
      <left style="medium">
        <color theme="8" tint="-0.24993999302387238"/>
      </left>
      <right/>
      <top style="medium">
        <color theme="8" tint="-0.24993999302387238"/>
      </top>
      <bottom style="thin">
        <color theme="8" tint="-0.24993999302387238"/>
      </bottom>
    </border>
    <border>
      <left>
        <color indexed="63"/>
      </left>
      <right>
        <color indexed="63"/>
      </right>
      <top style="medium">
        <color theme="8" tint="-0.24993999302387238"/>
      </top>
      <bottom style="thin">
        <color theme="8" tint="-0.24993999302387238"/>
      </bottom>
    </border>
    <border>
      <left style="medium">
        <color theme="8" tint="-0.24993999302387238"/>
      </left>
      <right style="medium">
        <color theme="8" tint="-0.24993999302387238"/>
      </right>
      <top style="medium">
        <color theme="8" tint="-0.24993999302387238"/>
      </top>
      <bottom style="thin">
        <color theme="8" tint="-0.24993999302387238"/>
      </bottom>
    </border>
    <border>
      <left style="medium">
        <color theme="8" tint="-0.24993999302387238"/>
      </left>
      <right/>
      <top>
        <color indexed="63"/>
      </top>
      <bottom style="thin">
        <color theme="8" tint="-0.24993999302387238"/>
      </bottom>
    </border>
    <border>
      <left>
        <color indexed="63"/>
      </left>
      <right>
        <color indexed="63"/>
      </right>
      <top>
        <color indexed="63"/>
      </top>
      <bottom style="thin">
        <color theme="8" tint="-0.24993999302387238"/>
      </bottom>
    </border>
    <border>
      <left style="medium">
        <color theme="8" tint="-0.24993999302387238"/>
      </left>
      <right style="medium">
        <color theme="8" tint="-0.24993999302387238"/>
      </right>
      <top>
        <color indexed="63"/>
      </top>
      <bottom style="thin">
        <color theme="8" tint="-0.24993999302387238"/>
      </bottom>
    </border>
    <border>
      <left style="medium">
        <color theme="0"/>
      </left>
      <right style="medium">
        <color theme="8" tint="-0.24993999302387238"/>
      </right>
      <top style="medium">
        <color theme="8" tint="-0.24993999302387238"/>
      </top>
      <bottom style="medium">
        <color theme="8" tint="-0.24993999302387238"/>
      </bottom>
    </border>
    <border>
      <left>
        <color indexed="63"/>
      </left>
      <right style="medium">
        <color theme="8" tint="-0.24993999302387238"/>
      </right>
      <top style="medium">
        <color theme="8" tint="-0.24993999302387238"/>
      </top>
      <bottom style="medium">
        <color theme="8" tint="-0.24993999302387238"/>
      </bottom>
    </border>
    <border>
      <left>
        <color indexed="63"/>
      </left>
      <right style="medium">
        <color theme="4"/>
      </right>
      <top style="medium">
        <color theme="8" tint="-0.24993999302387238"/>
      </top>
      <bottom style="medium">
        <color theme="8" tint="-0.24993999302387238"/>
      </bottom>
    </border>
    <border>
      <left/>
      <right style="medium">
        <color theme="0"/>
      </right>
      <top style="medium">
        <color theme="8" tint="-0.24993999302387238"/>
      </top>
      <bottom style="medium">
        <color theme="8" tint="-0.24993999302387238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4" applyNumberFormat="0" applyAlignment="0" applyProtection="0"/>
    <xf numFmtId="0" fontId="30" fillId="0" borderId="5" applyNumberFormat="0" applyFill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31" fillId="27" borderId="0" applyNumberFormat="0" applyBorder="0" applyAlignment="0" applyProtection="0"/>
    <xf numFmtId="0" fontId="32" fillId="28" borderId="4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36" fillId="20" borderId="7" applyNumberFormat="0" applyAlignment="0" applyProtection="0"/>
    <xf numFmtId="164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  <xf numFmtId="165" fontId="0" fillId="0" borderId="0" applyFont="0" applyFill="0" applyBorder="0" applyAlignment="0" applyProtection="0"/>
  </cellStyleXfs>
  <cellXfs count="66">
    <xf numFmtId="0" fontId="0" fillId="0" borderId="0" xfId="0" applyFont="1" applyAlignment="1">
      <alignment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0" fontId="0" fillId="0" borderId="0" xfId="0" applyFont="1" applyAlignment="1">
      <alignment vertical="center" wrapText="1"/>
    </xf>
    <xf numFmtId="0" fontId="0" fillId="0" borderId="0" xfId="0" applyFont="1" applyBorder="1" applyAlignment="1">
      <alignment/>
    </xf>
    <xf numFmtId="0" fontId="42" fillId="0" borderId="0" xfId="0" applyFont="1" applyAlignment="1">
      <alignment/>
    </xf>
    <xf numFmtId="3" fontId="0" fillId="0" borderId="0" xfId="0" applyNumberFormat="1" applyFont="1" applyAlignment="1">
      <alignment/>
    </xf>
    <xf numFmtId="0" fontId="43" fillId="0" borderId="0" xfId="0" applyFont="1" applyAlignment="1">
      <alignment/>
    </xf>
    <xf numFmtId="0" fontId="0" fillId="0" borderId="0" xfId="0" applyFont="1" applyBorder="1" applyAlignment="1">
      <alignment vertical="center" wrapText="1"/>
    </xf>
    <xf numFmtId="4" fontId="0" fillId="0" borderId="0" xfId="0" applyNumberFormat="1" applyBorder="1" applyAlignment="1">
      <alignment horizontal="center" vertical="center" wrapText="1"/>
    </xf>
    <xf numFmtId="4" fontId="41" fillId="33" borderId="10" xfId="0" applyNumberFormat="1" applyFont="1" applyFill="1" applyBorder="1" applyAlignment="1">
      <alignment horizontal="center" vertical="center" wrapText="1"/>
    </xf>
    <xf numFmtId="4" fontId="41" fillId="33" borderId="10" xfId="0" applyNumberFormat="1" applyFont="1" applyFill="1" applyBorder="1" applyAlignment="1" quotePrefix="1">
      <alignment horizontal="center" vertical="center" wrapText="1"/>
    </xf>
    <xf numFmtId="3" fontId="0" fillId="0" borderId="11" xfId="0" applyNumberFormat="1" applyFont="1" applyBorder="1" applyAlignment="1">
      <alignment/>
    </xf>
    <xf numFmtId="0" fontId="0" fillId="0" borderId="12" xfId="0" applyFont="1" applyBorder="1" applyAlignment="1">
      <alignment vertical="center" wrapText="1"/>
    </xf>
    <xf numFmtId="0" fontId="0" fillId="0" borderId="12" xfId="0" applyFont="1" applyBorder="1" applyAlignment="1">
      <alignment/>
    </xf>
    <xf numFmtId="3" fontId="40" fillId="0" borderId="13" xfId="0" applyNumberFormat="1" applyFont="1" applyFill="1" applyBorder="1" applyAlignment="1">
      <alignment/>
    </xf>
    <xf numFmtId="0" fontId="40" fillId="0" borderId="14" xfId="0" applyFont="1" applyFill="1" applyBorder="1" applyAlignment="1">
      <alignment/>
    </xf>
    <xf numFmtId="0" fontId="40" fillId="0" borderId="15" xfId="0" applyFont="1" applyFill="1" applyBorder="1" applyAlignment="1">
      <alignment/>
    </xf>
    <xf numFmtId="0" fontId="40" fillId="0" borderId="16" xfId="0" applyFont="1" applyFill="1" applyBorder="1" applyAlignment="1">
      <alignment/>
    </xf>
    <xf numFmtId="0" fontId="40" fillId="0" borderId="17" xfId="0" applyFont="1" applyFill="1" applyBorder="1" applyAlignment="1">
      <alignment/>
    </xf>
    <xf numFmtId="3" fontId="40" fillId="0" borderId="18" xfId="0" applyNumberFormat="1" applyFont="1" applyFill="1" applyBorder="1" applyAlignment="1">
      <alignment/>
    </xf>
    <xf numFmtId="0" fontId="42" fillId="0" borderId="12" xfId="0" applyFont="1" applyBorder="1" applyAlignment="1">
      <alignment/>
    </xf>
    <xf numFmtId="0" fontId="42" fillId="0" borderId="0" xfId="0" applyFont="1" applyBorder="1" applyAlignment="1">
      <alignment/>
    </xf>
    <xf numFmtId="3" fontId="42" fillId="0" borderId="11" xfId="0" applyNumberFormat="1" applyFont="1" applyBorder="1" applyAlignment="1">
      <alignment/>
    </xf>
    <xf numFmtId="0" fontId="41" fillId="33" borderId="14" xfId="0" applyFont="1" applyFill="1" applyBorder="1" applyAlignment="1">
      <alignment vertical="center"/>
    </xf>
    <xf numFmtId="0" fontId="41" fillId="33" borderId="15" xfId="0" applyFont="1" applyFill="1" applyBorder="1" applyAlignment="1">
      <alignment/>
    </xf>
    <xf numFmtId="0" fontId="41" fillId="33" borderId="15" xfId="0" applyFont="1" applyFill="1" applyBorder="1" applyAlignment="1">
      <alignment vertical="center"/>
    </xf>
    <xf numFmtId="0" fontId="44" fillId="0" borderId="19" xfId="0" applyFont="1" applyBorder="1" applyAlignment="1">
      <alignment/>
    </xf>
    <xf numFmtId="0" fontId="44" fillId="0" borderId="20" xfId="0" applyFont="1" applyBorder="1" applyAlignment="1">
      <alignment/>
    </xf>
    <xf numFmtId="3" fontId="44" fillId="0" borderId="21" xfId="0" applyNumberFormat="1" applyFont="1" applyBorder="1" applyAlignment="1">
      <alignment/>
    </xf>
    <xf numFmtId="0" fontId="44" fillId="0" borderId="16" xfId="0" applyFont="1" applyBorder="1" applyAlignment="1">
      <alignment/>
    </xf>
    <xf numFmtId="0" fontId="44" fillId="0" borderId="17" xfId="0" applyFont="1" applyBorder="1" applyAlignment="1">
      <alignment/>
    </xf>
    <xf numFmtId="3" fontId="44" fillId="0" borderId="18" xfId="0" applyNumberFormat="1" applyFont="1" applyBorder="1" applyAlignment="1">
      <alignment/>
    </xf>
    <xf numFmtId="0" fontId="40" fillId="8" borderId="14" xfId="0" applyFont="1" applyFill="1" applyBorder="1" applyAlignment="1">
      <alignment/>
    </xf>
    <xf numFmtId="0" fontId="0" fillId="8" borderId="15" xfId="0" applyFont="1" applyFill="1" applyBorder="1" applyAlignment="1">
      <alignment/>
    </xf>
    <xf numFmtId="3" fontId="0" fillId="8" borderId="13" xfId="0" applyNumberFormat="1" applyFont="1" applyFill="1" applyBorder="1" applyAlignment="1">
      <alignment/>
    </xf>
    <xf numFmtId="3" fontId="41" fillId="33" borderId="10" xfId="0" applyNumberFormat="1" applyFont="1" applyFill="1" applyBorder="1" applyAlignment="1">
      <alignment horizontal="center" vertical="center"/>
    </xf>
    <xf numFmtId="0" fontId="40" fillId="0" borderId="0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3" fontId="0" fillId="0" borderId="24" xfId="0" applyNumberFormat="1" applyFont="1" applyBorder="1" applyAlignment="1">
      <alignment/>
    </xf>
    <xf numFmtId="3" fontId="42" fillId="0" borderId="11" xfId="0" applyNumberFormat="1" applyFont="1" applyFill="1" applyBorder="1" applyAlignment="1">
      <alignment/>
    </xf>
    <xf numFmtId="0" fontId="40" fillId="0" borderId="19" xfId="0" applyFont="1" applyFill="1" applyBorder="1" applyAlignment="1">
      <alignment/>
    </xf>
    <xf numFmtId="0" fontId="40" fillId="0" borderId="20" xfId="0" applyFont="1" applyFill="1" applyBorder="1" applyAlignment="1">
      <alignment/>
    </xf>
    <xf numFmtId="3" fontId="40" fillId="0" borderId="21" xfId="0" applyNumberFormat="1" applyFont="1" applyFill="1" applyBorder="1" applyAlignment="1">
      <alignment/>
    </xf>
    <xf numFmtId="3" fontId="41" fillId="33" borderId="25" xfId="0" applyNumberFormat="1" applyFont="1" applyFill="1" applyBorder="1" applyAlignment="1">
      <alignment horizontal="center" vertical="center"/>
    </xf>
    <xf numFmtId="0" fontId="0" fillId="34" borderId="0" xfId="0" applyFont="1" applyFill="1" applyAlignment="1">
      <alignment/>
    </xf>
    <xf numFmtId="4" fontId="0" fillId="34" borderId="0" xfId="0" applyNumberFormat="1" applyFont="1" applyFill="1" applyAlignment="1">
      <alignment/>
    </xf>
    <xf numFmtId="0" fontId="0" fillId="34" borderId="0" xfId="0" applyFill="1" applyAlignment="1">
      <alignment/>
    </xf>
    <xf numFmtId="0" fontId="33" fillId="34" borderId="0" xfId="47" applyFill="1" applyAlignment="1">
      <alignment/>
    </xf>
    <xf numFmtId="4" fontId="41" fillId="33" borderId="25" xfId="0" applyNumberFormat="1" applyFont="1" applyFill="1" applyBorder="1" applyAlignment="1" quotePrefix="1">
      <alignment horizontal="center" vertical="center" wrapText="1"/>
    </xf>
    <xf numFmtId="3" fontId="41" fillId="33" borderId="26" xfId="0" applyNumberFormat="1" applyFont="1" applyFill="1" applyBorder="1" applyAlignment="1">
      <alignment horizontal="center" vertical="center"/>
    </xf>
    <xf numFmtId="3" fontId="41" fillId="33" borderId="27" xfId="0" applyNumberFormat="1" applyFont="1" applyFill="1" applyBorder="1" applyAlignment="1">
      <alignment horizontal="center" vertical="center"/>
    </xf>
    <xf numFmtId="3" fontId="42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vertical="center" wrapText="1"/>
    </xf>
    <xf numFmtId="3" fontId="44" fillId="0" borderId="21" xfId="0" applyNumberFormat="1" applyFont="1" applyFill="1" applyBorder="1" applyAlignment="1">
      <alignment/>
    </xf>
    <xf numFmtId="3" fontId="44" fillId="0" borderId="18" xfId="0" applyNumberFormat="1" applyFont="1" applyFill="1" applyBorder="1" applyAlignment="1">
      <alignment/>
    </xf>
    <xf numFmtId="3" fontId="0" fillId="0" borderId="11" xfId="0" applyNumberFormat="1" applyFont="1" applyFill="1" applyBorder="1" applyAlignment="1">
      <alignment/>
    </xf>
    <xf numFmtId="3" fontId="0" fillId="0" borderId="24" xfId="0" applyNumberFormat="1" applyFont="1" applyFill="1" applyBorder="1" applyAlignment="1">
      <alignment/>
    </xf>
    <xf numFmtId="3" fontId="0" fillId="0" borderId="0" xfId="0" applyNumberFormat="1" applyFont="1" applyFill="1" applyAlignment="1">
      <alignment/>
    </xf>
    <xf numFmtId="0" fontId="45" fillId="34" borderId="0" xfId="0" applyFont="1" applyFill="1" applyAlignment="1">
      <alignment horizontal="center"/>
    </xf>
    <xf numFmtId="0" fontId="41" fillId="33" borderId="14" xfId="0" applyFont="1" applyFill="1" applyBorder="1" applyAlignment="1">
      <alignment horizontal="center" vertical="center" wrapText="1"/>
    </xf>
    <xf numFmtId="0" fontId="41" fillId="33" borderId="15" xfId="0" applyFont="1" applyFill="1" applyBorder="1" applyAlignment="1">
      <alignment horizontal="center" vertical="center" wrapText="1"/>
    </xf>
    <xf numFmtId="0" fontId="41" fillId="33" borderId="28" xfId="0" applyFont="1" applyFill="1" applyBorder="1" applyAlignment="1">
      <alignment horizontal="center" vertical="center" wrapText="1"/>
    </xf>
    <xf numFmtId="0" fontId="46" fillId="34" borderId="0" xfId="0" applyFont="1" applyFill="1" applyAlignment="1">
      <alignment horizontal="center" vertical="center"/>
    </xf>
  </cellXfs>
  <cellStyles count="48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to" xfId="45"/>
    <cellStyle name="Entrada" xfId="46"/>
    <cellStyle name="Hyperlink" xfId="47"/>
    <cellStyle name="Incorreto" xfId="48"/>
    <cellStyle name="Currency" xfId="49"/>
    <cellStyle name="Currency [0]" xfId="50"/>
    <cellStyle name="Neutro" xfId="51"/>
    <cellStyle name="Nota" xfId="52"/>
    <cellStyle name="Percent" xfId="53"/>
    <cellStyle name="Saída" xfId="54"/>
    <cellStyle name="Comma [0]" xfId="55"/>
    <cellStyle name="Texto de Aviso" xfId="56"/>
    <cellStyle name="Texto Explicativo" xfId="57"/>
    <cellStyle name="Título" xfId="58"/>
    <cellStyle name="Total" xfId="59"/>
    <cellStyle name="Verificar Célula" xfId="60"/>
    <cellStyle name="Comma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3</xdr:col>
      <xdr:colOff>266700</xdr:colOff>
      <xdr:row>4</xdr:row>
      <xdr:rowOff>152400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209550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190500</xdr:rowOff>
    </xdr:from>
    <xdr:to>
      <xdr:col>4</xdr:col>
      <xdr:colOff>0</xdr:colOff>
      <xdr:row>2</xdr:row>
      <xdr:rowOff>142875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27647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190500</xdr:rowOff>
    </xdr:from>
    <xdr:to>
      <xdr:col>4</xdr:col>
      <xdr:colOff>0</xdr:colOff>
      <xdr:row>3</xdr:row>
      <xdr:rowOff>38100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233362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133350</xdr:rowOff>
    </xdr:from>
    <xdr:to>
      <xdr:col>4</xdr:col>
      <xdr:colOff>0</xdr:colOff>
      <xdr:row>2</xdr:row>
      <xdr:rowOff>66675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3350"/>
          <a:ext cx="233362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2"/>
  <sheetViews>
    <sheetView tabSelected="1" zoomScalePageLayoutView="0" workbookViewId="0" topLeftCell="A1">
      <selection activeCell="L9" sqref="L9"/>
    </sheetView>
  </sheetViews>
  <sheetFormatPr defaultColWidth="9.140625" defaultRowHeight="15"/>
  <cols>
    <col min="1" max="16384" width="9.140625" style="48" customWidth="1"/>
  </cols>
  <sheetData>
    <row r="2" spans="5:9" ht="18.75">
      <c r="E2" s="61" t="s">
        <v>44</v>
      </c>
      <c r="F2" s="61"/>
      <c r="G2" s="61"/>
      <c r="H2" s="61"/>
      <c r="I2" s="61"/>
    </row>
    <row r="4" spans="5:9" ht="18.75">
      <c r="E4" s="61" t="s">
        <v>48</v>
      </c>
      <c r="F4" s="61"/>
      <c r="G4" s="61"/>
      <c r="H4" s="61"/>
      <c r="I4" s="61"/>
    </row>
    <row r="8" ht="15">
      <c r="A8" s="49" t="s">
        <v>45</v>
      </c>
    </row>
    <row r="10" ht="15">
      <c r="A10" s="49" t="s">
        <v>46</v>
      </c>
    </row>
    <row r="12" ht="15">
      <c r="A12" s="49" t="s">
        <v>47</v>
      </c>
    </row>
  </sheetData>
  <sheetProtection/>
  <mergeCells count="2">
    <mergeCell ref="E2:I2"/>
    <mergeCell ref="E4:I4"/>
  </mergeCells>
  <hyperlinks>
    <hyperlink ref="A8" location="'1'!A1" display="1. Evolução do Aprovisionamento de Vinho em Portugal"/>
    <hyperlink ref="A10" location="'2'!A1" display="2. Evolução do Aprovisionamento de Vinho Certificado (DO + IG) em Portugal"/>
    <hyperlink ref="A12" location="'3'!A1" display="3. Evolução do Aprovisionamento de Vinho não Certificado (sem DO e sem IG) em Portugal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39"/>
  <sheetViews>
    <sheetView zoomScalePageLayoutView="0" workbookViewId="0" topLeftCell="A1">
      <pane xSplit="4" ySplit="6" topLeftCell="N14" activePane="bottomRight" state="frozen"/>
      <selection pane="topLeft" activeCell="A1" sqref="A1"/>
      <selection pane="topRight" activeCell="D1" sqref="D1"/>
      <selection pane="bottomLeft" activeCell="A7" sqref="A7"/>
      <selection pane="bottomRight" activeCell="Y22" sqref="Y22"/>
    </sheetView>
  </sheetViews>
  <sheetFormatPr defaultColWidth="7.00390625" defaultRowHeight="15"/>
  <cols>
    <col min="1" max="1" width="4.140625" style="1" customWidth="1"/>
    <col min="2" max="2" width="2.421875" style="1" customWidth="1"/>
    <col min="3" max="3" width="3.140625" style="1" customWidth="1"/>
    <col min="4" max="4" width="25.28125" style="1" customWidth="1"/>
    <col min="5" max="18" width="10.7109375" style="2" customWidth="1"/>
    <col min="19" max="55" width="10.7109375" style="1" customWidth="1"/>
    <col min="56" max="16384" width="7.00390625" style="1" customWidth="1"/>
  </cols>
  <sheetData>
    <row r="1" spans="5:18" s="46" customFormat="1" ht="15" customHeight="1"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</row>
    <row r="2" spans="5:18" s="46" customFormat="1" ht="58.5" customHeight="1">
      <c r="E2" s="65" t="s">
        <v>55</v>
      </c>
      <c r="F2" s="65"/>
      <c r="G2" s="65"/>
      <c r="H2" s="65"/>
      <c r="I2" s="65"/>
      <c r="J2" s="65"/>
      <c r="K2" s="65"/>
      <c r="L2" s="65"/>
      <c r="M2" s="65"/>
      <c r="N2" s="65"/>
      <c r="O2" s="47"/>
      <c r="P2" s="47"/>
      <c r="Q2" s="47"/>
      <c r="R2" s="47"/>
    </row>
    <row r="3" spans="5:18" s="46" customFormat="1" ht="12.75" customHeight="1"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</row>
    <row r="4" ht="5.25" customHeight="1" thickBot="1"/>
    <row r="5" spans="1:27" s="3" customFormat="1" ht="29.25" customHeight="1" thickBot="1">
      <c r="A5" s="62" t="s">
        <v>0</v>
      </c>
      <c r="B5" s="63"/>
      <c r="C5" s="63"/>
      <c r="D5" s="64"/>
      <c r="E5" s="10" t="s">
        <v>1</v>
      </c>
      <c r="F5" s="10" t="s">
        <v>2</v>
      </c>
      <c r="G5" s="10" t="s">
        <v>3</v>
      </c>
      <c r="H5" s="10" t="s">
        <v>4</v>
      </c>
      <c r="I5" s="10" t="s">
        <v>5</v>
      </c>
      <c r="J5" s="10" t="s">
        <v>6</v>
      </c>
      <c r="K5" s="11" t="s">
        <v>7</v>
      </c>
      <c r="L5" s="11" t="s">
        <v>8</v>
      </c>
      <c r="M5" s="11" t="s">
        <v>9</v>
      </c>
      <c r="N5" s="11" t="s">
        <v>10</v>
      </c>
      <c r="O5" s="11" t="s">
        <v>11</v>
      </c>
      <c r="P5" s="11" t="s">
        <v>19</v>
      </c>
      <c r="Q5" s="11" t="s">
        <v>21</v>
      </c>
      <c r="R5" s="11" t="s">
        <v>23</v>
      </c>
      <c r="S5" s="11" t="s">
        <v>22</v>
      </c>
      <c r="T5" s="11" t="s">
        <v>28</v>
      </c>
      <c r="U5" s="11" t="s">
        <v>29</v>
      </c>
      <c r="V5" s="11" t="s">
        <v>30</v>
      </c>
      <c r="W5" s="11" t="s">
        <v>31</v>
      </c>
      <c r="X5" s="11" t="s">
        <v>32</v>
      </c>
      <c r="Y5" s="11" t="s">
        <v>33</v>
      </c>
      <c r="Z5" s="11" t="s">
        <v>50</v>
      </c>
      <c r="AA5" s="50" t="s">
        <v>49</v>
      </c>
    </row>
    <row r="6" spans="1:27" s="3" customFormat="1" ht="5.25" customHeight="1" thickBot="1">
      <c r="A6" s="13"/>
      <c r="B6" s="8"/>
      <c r="C6" s="8"/>
      <c r="D6" s="8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8"/>
      <c r="T6" s="8"/>
      <c r="U6" s="8"/>
      <c r="V6" s="8"/>
      <c r="W6" s="8"/>
      <c r="X6" s="8"/>
      <c r="Y6" s="8"/>
      <c r="Z6" s="8"/>
      <c r="AA6" s="8"/>
    </row>
    <row r="7" spans="1:27" ht="19.5" customHeight="1">
      <c r="A7" s="42" t="s">
        <v>24</v>
      </c>
      <c r="B7" s="43"/>
      <c r="C7" s="43"/>
      <c r="D7" s="43"/>
      <c r="E7" s="44">
        <v>9057</v>
      </c>
      <c r="F7" s="44">
        <v>10314</v>
      </c>
      <c r="G7" s="44">
        <v>11984</v>
      </c>
      <c r="H7" s="44">
        <v>10454</v>
      </c>
      <c r="I7" s="44">
        <v>10158</v>
      </c>
      <c r="J7" s="44">
        <v>10481</v>
      </c>
      <c r="K7" s="44">
        <v>10668</v>
      </c>
      <c r="L7" s="44">
        <v>10198</v>
      </c>
      <c r="M7" s="44">
        <v>9351</v>
      </c>
      <c r="N7" s="44">
        <v>9130.361</v>
      </c>
      <c r="O7" s="44">
        <v>8999</v>
      </c>
      <c r="P7" s="44">
        <v>9492</v>
      </c>
      <c r="Q7" s="44">
        <v>8005</v>
      </c>
      <c r="R7" s="44">
        <v>7857</v>
      </c>
      <c r="S7" s="44">
        <v>8602</v>
      </c>
      <c r="T7" s="44">
        <v>8880</v>
      </c>
      <c r="U7" s="44">
        <v>9871</v>
      </c>
      <c r="V7" s="44">
        <f>9498868/1000</f>
        <v>9498.868</v>
      </c>
      <c r="W7" s="44">
        <f>9351350/1000</f>
        <v>9351.35</v>
      </c>
      <c r="X7" s="44">
        <f>9569356/1000</f>
        <v>9569.356</v>
      </c>
      <c r="Y7" s="44">
        <f>10767537/1000</f>
        <v>10767.537</v>
      </c>
      <c r="Z7" s="44">
        <f>11280210/1000</f>
        <v>11280.21</v>
      </c>
      <c r="AA7" s="44">
        <f>11806572/1000</f>
        <v>11806.572</v>
      </c>
    </row>
    <row r="8" spans="1:27" s="5" customFormat="1" ht="19.5" customHeight="1">
      <c r="A8" s="21"/>
      <c r="B8" s="22" t="s">
        <v>36</v>
      </c>
      <c r="C8" s="22"/>
      <c r="D8" s="22"/>
      <c r="E8" s="23">
        <v>3959</v>
      </c>
      <c r="F8" s="23">
        <v>4931</v>
      </c>
      <c r="G8" s="23">
        <v>5720</v>
      </c>
      <c r="H8" s="23">
        <v>5222</v>
      </c>
      <c r="I8" s="23">
        <v>5143</v>
      </c>
      <c r="J8" s="23">
        <v>5959</v>
      </c>
      <c r="K8" s="23">
        <v>5833</v>
      </c>
      <c r="L8" s="23">
        <v>5924.566</v>
      </c>
      <c r="M8" s="23">
        <v>5378</v>
      </c>
      <c r="N8" s="23">
        <v>5030.946</v>
      </c>
      <c r="O8" s="23">
        <v>5087</v>
      </c>
      <c r="P8" s="23">
        <v>5600</v>
      </c>
      <c r="Q8" s="23">
        <v>4841</v>
      </c>
      <c r="R8" s="23">
        <v>4575</v>
      </c>
      <c r="S8" s="23">
        <v>4893</v>
      </c>
      <c r="T8" s="23">
        <f>5237530/1000</f>
        <v>5237.53</v>
      </c>
      <c r="U8" s="23">
        <f>5724758/1000</f>
        <v>5724.758</v>
      </c>
      <c r="V8" s="23">
        <f>5330194/1000</f>
        <v>5330.194</v>
      </c>
      <c r="W8" s="23">
        <f>5331027/1000</f>
        <v>5331.027</v>
      </c>
      <c r="X8" s="23">
        <f>5205890/1000</f>
        <v>5205.89</v>
      </c>
      <c r="Y8" s="23">
        <f>6331312/1000</f>
        <v>6331.312</v>
      </c>
      <c r="Z8" s="23">
        <f>6399036/1000</f>
        <v>6399.036</v>
      </c>
      <c r="AA8" s="23">
        <f>6651134/1000</f>
        <v>6651.134</v>
      </c>
    </row>
    <row r="9" spans="1:27" s="5" customFormat="1" ht="19.5" customHeight="1">
      <c r="A9" s="21"/>
      <c r="B9" s="22" t="s">
        <v>37</v>
      </c>
      <c r="C9" s="22"/>
      <c r="D9" s="22"/>
      <c r="E9" s="23">
        <v>5098</v>
      </c>
      <c r="F9" s="23">
        <v>5383</v>
      </c>
      <c r="G9" s="23">
        <v>6264</v>
      </c>
      <c r="H9" s="23">
        <v>5232</v>
      </c>
      <c r="I9" s="23">
        <v>5015</v>
      </c>
      <c r="J9" s="23">
        <v>4522</v>
      </c>
      <c r="K9" s="23">
        <v>4835</v>
      </c>
      <c r="L9" s="23">
        <v>4273.434</v>
      </c>
      <c r="M9" s="23">
        <v>3973</v>
      </c>
      <c r="N9" s="23">
        <v>4099.415</v>
      </c>
      <c r="O9" s="23">
        <v>3912</v>
      </c>
      <c r="P9" s="23">
        <v>3892</v>
      </c>
      <c r="Q9" s="23">
        <v>3134</v>
      </c>
      <c r="R9" s="23">
        <v>3282</v>
      </c>
      <c r="S9" s="23">
        <v>3709</v>
      </c>
      <c r="T9" s="23">
        <f>3642483/1000</f>
        <v>3642.483</v>
      </c>
      <c r="U9" s="23">
        <f>4145692/1000</f>
        <v>4145.692</v>
      </c>
      <c r="V9" s="23">
        <f>4168674/1000</f>
        <v>4168.674</v>
      </c>
      <c r="W9" s="23">
        <f>4017323/1000</f>
        <v>4017.323</v>
      </c>
      <c r="X9" s="23">
        <f>4363466/1000</f>
        <v>4363.466</v>
      </c>
      <c r="Y9" s="23">
        <f>4436225/1000</f>
        <v>4436.225</v>
      </c>
      <c r="Z9" s="23">
        <f>4881174/1000</f>
        <v>4881.174</v>
      </c>
      <c r="AA9" s="23">
        <f>5155438/1000</f>
        <v>5155.438</v>
      </c>
    </row>
    <row r="10" spans="1:27" ht="19.5" customHeight="1">
      <c r="A10" s="18" t="s">
        <v>25</v>
      </c>
      <c r="B10" s="19"/>
      <c r="C10" s="19"/>
      <c r="D10" s="19"/>
      <c r="E10" s="20">
        <v>6709</v>
      </c>
      <c r="F10" s="20">
        <v>7789</v>
      </c>
      <c r="G10" s="20">
        <v>6677</v>
      </c>
      <c r="H10" s="20">
        <v>7340</v>
      </c>
      <c r="I10" s="20">
        <v>7481</v>
      </c>
      <c r="J10" s="20">
        <v>7266</v>
      </c>
      <c r="K10" s="20">
        <v>7542</v>
      </c>
      <c r="L10" s="20">
        <v>6073</v>
      </c>
      <c r="M10" s="20">
        <v>5689</v>
      </c>
      <c r="N10" s="20">
        <v>5894</v>
      </c>
      <c r="O10" s="20">
        <v>7148</v>
      </c>
      <c r="P10" s="20">
        <v>5622.36303622374</v>
      </c>
      <c r="Q10" s="20">
        <v>6237</v>
      </c>
      <c r="R10" s="20">
        <v>6231</v>
      </c>
      <c r="S10" s="20">
        <v>6202</v>
      </c>
      <c r="T10" s="20">
        <v>7048</v>
      </c>
      <c r="U10" s="20">
        <f>6021968/1000</f>
        <v>6021.968</v>
      </c>
      <c r="V10" s="20">
        <f>6736772/1000</f>
        <v>6736.772</v>
      </c>
      <c r="W10" s="20">
        <f>6061243/1000</f>
        <v>6061.243</v>
      </c>
      <c r="X10" s="20">
        <f>6526562/1000</f>
        <v>6526.562</v>
      </c>
      <c r="Y10" s="20">
        <f>6418030/1000</f>
        <v>6418.03</v>
      </c>
      <c r="Z10" s="20">
        <f>7358539/1000</f>
        <v>7358.539</v>
      </c>
      <c r="AA10" s="20">
        <f>6848414/1000</f>
        <v>6848.414</v>
      </c>
    </row>
    <row r="11" spans="1:27" ht="19.5" customHeight="1">
      <c r="A11" s="18" t="s">
        <v>26</v>
      </c>
      <c r="B11" s="19"/>
      <c r="C11" s="19"/>
      <c r="D11" s="19"/>
      <c r="E11" s="20">
        <v>1820</v>
      </c>
      <c r="F11" s="20">
        <v>1486</v>
      </c>
      <c r="G11" s="20">
        <v>1401</v>
      </c>
      <c r="H11" s="20"/>
      <c r="I11" s="20">
        <v>1451</v>
      </c>
      <c r="J11" s="20">
        <v>1271</v>
      </c>
      <c r="K11" s="20">
        <v>948</v>
      </c>
      <c r="L11" s="20">
        <v>1267</v>
      </c>
      <c r="M11" s="20">
        <v>2184</v>
      </c>
      <c r="N11" s="20">
        <v>2049</v>
      </c>
      <c r="O11" s="20">
        <v>1693</v>
      </c>
      <c r="P11" s="20">
        <v>1598</v>
      </c>
      <c r="Q11" s="20">
        <v>1328</v>
      </c>
      <c r="R11" s="20">
        <v>2039</v>
      </c>
      <c r="S11" s="20">
        <v>2341</v>
      </c>
      <c r="T11" s="20">
        <f aca="true" t="shared" si="0" ref="T11:Y11">T12+T13</f>
        <v>1827.524</v>
      </c>
      <c r="U11" s="20">
        <f t="shared" si="0"/>
        <v>2165.547</v>
      </c>
      <c r="V11" s="20">
        <f t="shared" si="0"/>
        <v>1716.178</v>
      </c>
      <c r="W11" s="20">
        <f t="shared" si="0"/>
        <v>2935.2619999999997</v>
      </c>
      <c r="X11" s="20">
        <f t="shared" si="0"/>
        <v>2745.2380000000003</v>
      </c>
      <c r="Y11" s="20">
        <f t="shared" si="0"/>
        <v>2970.9539999999997</v>
      </c>
      <c r="Z11" s="20">
        <f>2971424/1000</f>
        <v>2971.424</v>
      </c>
      <c r="AA11" s="20">
        <f>2370854/1000</f>
        <v>2370.854</v>
      </c>
    </row>
    <row r="12" spans="1:27" s="5" customFormat="1" ht="19.5" customHeight="1">
      <c r="A12" s="21"/>
      <c r="B12" s="22" t="s">
        <v>34</v>
      </c>
      <c r="C12" s="22"/>
      <c r="D12" s="22"/>
      <c r="E12" s="23">
        <v>1</v>
      </c>
      <c r="F12" s="23">
        <v>1</v>
      </c>
      <c r="G12" s="23">
        <v>1399.423</v>
      </c>
      <c r="H12" s="23">
        <v>1567</v>
      </c>
      <c r="I12" s="23">
        <v>1448</v>
      </c>
      <c r="J12" s="23">
        <v>1269</v>
      </c>
      <c r="K12" s="23">
        <v>947</v>
      </c>
      <c r="L12" s="23">
        <v>1265</v>
      </c>
      <c r="M12" s="23">
        <v>2181</v>
      </c>
      <c r="N12" s="23">
        <v>2024</v>
      </c>
      <c r="O12" s="23">
        <v>1689</v>
      </c>
      <c r="P12" s="23">
        <v>1595</v>
      </c>
      <c r="Q12" s="23">
        <v>1325</v>
      </c>
      <c r="R12" s="23">
        <v>2036</v>
      </c>
      <c r="S12" s="23">
        <v>2339</v>
      </c>
      <c r="T12" s="23">
        <f>1824337/1000</f>
        <v>1824.337</v>
      </c>
      <c r="U12" s="23">
        <f>2163803/1000</f>
        <v>2163.803</v>
      </c>
      <c r="V12" s="23">
        <f>1714623/1000</f>
        <v>1714.623</v>
      </c>
      <c r="W12" s="23">
        <f>2933388/1000</f>
        <v>2933.388</v>
      </c>
      <c r="X12" s="23">
        <f>2743378/1000</f>
        <v>2743.378</v>
      </c>
      <c r="Y12" s="23">
        <f>2968897/1000</f>
        <v>2968.897</v>
      </c>
      <c r="Z12" s="23">
        <f>2968861/1000</f>
        <v>2968.861</v>
      </c>
      <c r="AA12" s="23">
        <f>2369112/1000</f>
        <v>2369.112</v>
      </c>
    </row>
    <row r="13" spans="1:27" s="5" customFormat="1" ht="19.5" customHeight="1" thickBot="1">
      <c r="A13" s="21"/>
      <c r="B13" s="22" t="s">
        <v>35</v>
      </c>
      <c r="C13" s="22"/>
      <c r="D13" s="22"/>
      <c r="E13" s="23">
        <v>1819</v>
      </c>
      <c r="F13" s="23">
        <v>1485</v>
      </c>
      <c r="G13" s="23">
        <v>1</v>
      </c>
      <c r="H13" s="23">
        <v>1</v>
      </c>
      <c r="I13" s="23">
        <v>1.577</v>
      </c>
      <c r="J13" s="23">
        <v>2</v>
      </c>
      <c r="K13" s="23">
        <v>3</v>
      </c>
      <c r="L13" s="23">
        <v>2</v>
      </c>
      <c r="M13" s="23">
        <v>1</v>
      </c>
      <c r="N13" s="23">
        <v>2</v>
      </c>
      <c r="O13" s="23">
        <v>3</v>
      </c>
      <c r="P13" s="41">
        <v>3</v>
      </c>
      <c r="Q13" s="23">
        <v>4</v>
      </c>
      <c r="R13" s="23">
        <v>3</v>
      </c>
      <c r="S13" s="23">
        <v>3</v>
      </c>
      <c r="T13" s="23">
        <f>3187/1000</f>
        <v>3.187</v>
      </c>
      <c r="U13" s="23">
        <f>1744/1000</f>
        <v>1.744</v>
      </c>
      <c r="V13" s="23">
        <f>1555/1000</f>
        <v>1.555</v>
      </c>
      <c r="W13" s="23">
        <f>1874/1000</f>
        <v>1.874</v>
      </c>
      <c r="X13" s="23">
        <f>1860/1000</f>
        <v>1.86</v>
      </c>
      <c r="Y13" s="23">
        <f>2057/1000</f>
        <v>2.057</v>
      </c>
      <c r="Z13" s="23">
        <f>2563/1000</f>
        <v>2.563</v>
      </c>
      <c r="AA13" s="23">
        <f>1742/1000</f>
        <v>1.742</v>
      </c>
    </row>
    <row r="14" spans="1:28" s="5" customFormat="1" ht="19.5" customHeight="1" thickBot="1">
      <c r="A14" s="16" t="s">
        <v>12</v>
      </c>
      <c r="B14" s="17"/>
      <c r="C14" s="17"/>
      <c r="D14" s="17"/>
      <c r="E14" s="15">
        <v>17586</v>
      </c>
      <c r="F14" s="15">
        <v>19589</v>
      </c>
      <c r="G14" s="15">
        <v>20062</v>
      </c>
      <c r="H14" s="15">
        <v>19363</v>
      </c>
      <c r="I14" s="15">
        <v>19090</v>
      </c>
      <c r="J14" s="15">
        <v>19018</v>
      </c>
      <c r="K14" s="15">
        <v>19158</v>
      </c>
      <c r="L14" s="15">
        <v>17538</v>
      </c>
      <c r="M14" s="15">
        <v>17224</v>
      </c>
      <c r="N14" s="15">
        <v>17073.361</v>
      </c>
      <c r="O14" s="15">
        <v>17840</v>
      </c>
      <c r="P14" s="15">
        <f>P7+P10+P11</f>
        <v>16712.363036223738</v>
      </c>
      <c r="Q14" s="15">
        <v>15660</v>
      </c>
      <c r="R14" s="15">
        <v>16127</v>
      </c>
      <c r="S14" s="15">
        <v>17145</v>
      </c>
      <c r="T14" s="15">
        <f>T7+T10+T11</f>
        <v>17755.524</v>
      </c>
      <c r="U14" s="15">
        <f aca="true" t="shared" si="1" ref="U14:Z14">U7+U10+U11</f>
        <v>18058.515</v>
      </c>
      <c r="V14" s="15">
        <f t="shared" si="1"/>
        <v>17951.818</v>
      </c>
      <c r="W14" s="15">
        <f t="shared" si="1"/>
        <v>18347.855</v>
      </c>
      <c r="X14" s="15">
        <f t="shared" si="1"/>
        <v>18841.156</v>
      </c>
      <c r="Y14" s="15">
        <f t="shared" si="1"/>
        <v>20156.521</v>
      </c>
      <c r="Z14" s="15">
        <f t="shared" si="1"/>
        <v>21610.173</v>
      </c>
      <c r="AA14" s="15">
        <f>AA7+AA10+AA11</f>
        <v>21025.84</v>
      </c>
      <c r="AB14" s="53"/>
    </row>
    <row r="15" spans="1:27" ht="19.5" customHeight="1">
      <c r="A15" s="27" t="s">
        <v>13</v>
      </c>
      <c r="B15" s="28"/>
      <c r="C15" s="28"/>
      <c r="D15" s="28"/>
      <c r="E15" s="29">
        <v>1608</v>
      </c>
      <c r="F15" s="29">
        <v>1718</v>
      </c>
      <c r="G15" s="29">
        <v>2911</v>
      </c>
      <c r="H15" s="29">
        <v>3200</v>
      </c>
      <c r="I15" s="29">
        <v>2869</v>
      </c>
      <c r="J15" s="29">
        <v>2462</v>
      </c>
      <c r="K15" s="29">
        <v>3294</v>
      </c>
      <c r="L15" s="29">
        <v>3074</v>
      </c>
      <c r="M15" s="29">
        <v>2702</v>
      </c>
      <c r="N15" s="29">
        <v>2556</v>
      </c>
      <c r="O15" s="29">
        <v>2898</v>
      </c>
      <c r="P15" s="29">
        <f>P16+P17</f>
        <v>3252</v>
      </c>
      <c r="Q15" s="29">
        <v>3260</v>
      </c>
      <c r="R15" s="29">
        <v>2860</v>
      </c>
      <c r="S15" s="29">
        <v>2863</v>
      </c>
      <c r="T15" s="29">
        <f aca="true" t="shared" si="2" ref="T15:Y15">T16+T17</f>
        <v>2737</v>
      </c>
      <c r="U15" s="29">
        <f t="shared" si="2"/>
        <v>2879.75</v>
      </c>
      <c r="V15" s="29">
        <f t="shared" si="2"/>
        <v>3096.151</v>
      </c>
      <c r="W15" s="29">
        <f t="shared" si="2"/>
        <v>2963.209</v>
      </c>
      <c r="X15" s="29">
        <f t="shared" si="2"/>
        <v>3151.384</v>
      </c>
      <c r="Y15" s="29">
        <f t="shared" si="2"/>
        <v>3288.1</v>
      </c>
      <c r="Z15" s="29">
        <f>3253662/1000</f>
        <v>3253.662</v>
      </c>
      <c r="AA15" s="29">
        <f>2410121/1000</f>
        <v>2410.121</v>
      </c>
    </row>
    <row r="16" spans="1:27" ht="19.5" customHeight="1">
      <c r="A16" s="14"/>
      <c r="B16" s="22" t="s">
        <v>34</v>
      </c>
      <c r="C16" s="22"/>
      <c r="D16" s="22"/>
      <c r="E16" s="23">
        <v>464</v>
      </c>
      <c r="F16" s="23">
        <v>518.3</v>
      </c>
      <c r="G16" s="23">
        <v>2201</v>
      </c>
      <c r="H16" s="23">
        <v>2381</v>
      </c>
      <c r="I16" s="23">
        <v>1917</v>
      </c>
      <c r="J16" s="23">
        <v>1531</v>
      </c>
      <c r="K16" s="23">
        <v>1968</v>
      </c>
      <c r="L16" s="23">
        <v>1863</v>
      </c>
      <c r="M16" s="23">
        <v>1788.6843281200127</v>
      </c>
      <c r="N16" s="23">
        <v>1483</v>
      </c>
      <c r="O16" s="23">
        <v>1607</v>
      </c>
      <c r="P16" s="23">
        <v>1741</v>
      </c>
      <c r="Q16" s="23">
        <v>1405</v>
      </c>
      <c r="R16" s="23">
        <v>1431</v>
      </c>
      <c r="S16" s="23">
        <v>1467</v>
      </c>
      <c r="T16" s="23">
        <v>1541</v>
      </c>
      <c r="U16" s="23">
        <f>1618001/1000</f>
        <v>1618.001</v>
      </c>
      <c r="V16" s="23">
        <f>1780171/1000</f>
        <v>1780.171</v>
      </c>
      <c r="W16" s="23">
        <f>1567970/1000</f>
        <v>1567.97</v>
      </c>
      <c r="X16" s="23">
        <f>1424470/1000</f>
        <v>1424.47</v>
      </c>
      <c r="Y16" s="23">
        <f>1503242/1000</f>
        <v>1503.242</v>
      </c>
      <c r="Z16" s="23">
        <f>1464600/1000</f>
        <v>1464.6</v>
      </c>
      <c r="AA16" s="23">
        <f>1047453/1000</f>
        <v>1047.453</v>
      </c>
    </row>
    <row r="17" spans="1:27" ht="19.5" customHeight="1">
      <c r="A17" s="14"/>
      <c r="B17" s="22" t="s">
        <v>27</v>
      </c>
      <c r="C17" s="22"/>
      <c r="D17" s="22"/>
      <c r="E17" s="23">
        <v>1144</v>
      </c>
      <c r="F17" s="23">
        <v>1199.7</v>
      </c>
      <c r="G17" s="23">
        <v>710</v>
      </c>
      <c r="H17" s="23">
        <v>819</v>
      </c>
      <c r="I17" s="23">
        <v>952</v>
      </c>
      <c r="J17" s="23">
        <v>931</v>
      </c>
      <c r="K17" s="23">
        <v>1326</v>
      </c>
      <c r="L17" s="23">
        <v>1211</v>
      </c>
      <c r="M17" s="23">
        <v>913.3156718799872</v>
      </c>
      <c r="N17" s="23">
        <v>1073</v>
      </c>
      <c r="O17" s="23">
        <v>1291</v>
      </c>
      <c r="P17" s="23">
        <v>1511</v>
      </c>
      <c r="Q17" s="23">
        <v>1855</v>
      </c>
      <c r="R17" s="23">
        <v>1429</v>
      </c>
      <c r="S17" s="23">
        <v>1396</v>
      </c>
      <c r="T17" s="23">
        <v>1196</v>
      </c>
      <c r="U17" s="23">
        <f>1261749/1000</f>
        <v>1261.749</v>
      </c>
      <c r="V17" s="23">
        <f>1315980/1000</f>
        <v>1315.98</v>
      </c>
      <c r="W17" s="23">
        <f>1395239/1000</f>
        <v>1395.239</v>
      </c>
      <c r="X17" s="23">
        <f>1726914/1000</f>
        <v>1726.914</v>
      </c>
      <c r="Y17" s="23">
        <f>1784858/1000</f>
        <v>1784.858</v>
      </c>
      <c r="Z17" s="23">
        <f>1789062/1000</f>
        <v>1789.062</v>
      </c>
      <c r="AA17" s="23">
        <f>1362668/1000</f>
        <v>1362.668</v>
      </c>
    </row>
    <row r="18" spans="1:27" ht="19.5" customHeight="1">
      <c r="A18" s="30" t="s">
        <v>15</v>
      </c>
      <c r="B18" s="31"/>
      <c r="C18" s="31"/>
      <c r="D18" s="31"/>
      <c r="E18" s="32">
        <f>E19+E23</f>
        <v>867</v>
      </c>
      <c r="F18" s="32">
        <f aca="true" t="shared" si="3" ref="F18:S18">F19+F23</f>
        <v>1216</v>
      </c>
      <c r="G18" s="32">
        <f t="shared" si="3"/>
        <v>1362</v>
      </c>
      <c r="H18" s="32">
        <f t="shared" si="3"/>
        <v>1075</v>
      </c>
      <c r="I18" s="32">
        <f t="shared" si="3"/>
        <v>820</v>
      </c>
      <c r="J18" s="32">
        <f t="shared" si="3"/>
        <v>1170</v>
      </c>
      <c r="K18" s="32">
        <f t="shared" si="3"/>
        <v>1123</v>
      </c>
      <c r="L18" s="32">
        <f t="shared" si="3"/>
        <v>526</v>
      </c>
      <c r="M18" s="32">
        <f t="shared" si="3"/>
        <v>411</v>
      </c>
      <c r="N18" s="32">
        <f t="shared" si="3"/>
        <v>778</v>
      </c>
      <c r="O18" s="32">
        <f t="shared" si="3"/>
        <v>539</v>
      </c>
      <c r="P18" s="32">
        <f t="shared" si="3"/>
        <v>446</v>
      </c>
      <c r="Q18" s="32">
        <f t="shared" si="3"/>
        <v>364</v>
      </c>
      <c r="R18" s="32">
        <f t="shared" si="3"/>
        <v>360</v>
      </c>
      <c r="S18" s="32">
        <f t="shared" si="3"/>
        <v>459</v>
      </c>
      <c r="T18" s="32">
        <f aca="true" t="shared" si="4" ref="T18:AA18">T19+T23</f>
        <v>458</v>
      </c>
      <c r="U18" s="32">
        <f t="shared" si="4"/>
        <v>387.777</v>
      </c>
      <c r="V18" s="32">
        <f t="shared" si="4"/>
        <v>414.027</v>
      </c>
      <c r="W18" s="32">
        <f t="shared" si="4"/>
        <v>408.29200000000003</v>
      </c>
      <c r="X18" s="32">
        <f t="shared" si="4"/>
        <v>531.6800000000001</v>
      </c>
      <c r="Y18" s="32">
        <f t="shared" si="4"/>
        <v>302.183</v>
      </c>
      <c r="Z18" s="32">
        <f t="shared" si="4"/>
        <v>474.406</v>
      </c>
      <c r="AA18" s="32">
        <f t="shared" si="4"/>
        <v>769.361</v>
      </c>
    </row>
    <row r="19" spans="1:27" ht="19.5" customHeight="1">
      <c r="A19" s="14"/>
      <c r="B19" s="4" t="s">
        <v>40</v>
      </c>
      <c r="C19" s="4"/>
      <c r="D19" s="4"/>
      <c r="E19" s="12">
        <f>E20+E21</f>
        <v>821</v>
      </c>
      <c r="F19" s="12">
        <f aca="true" t="shared" si="5" ref="F19:S19">F20+F21</f>
        <v>1156</v>
      </c>
      <c r="G19" s="12">
        <f t="shared" si="5"/>
        <v>1287</v>
      </c>
      <c r="H19" s="12">
        <f t="shared" si="5"/>
        <v>1008</v>
      </c>
      <c r="I19" s="12">
        <f t="shared" si="5"/>
        <v>757</v>
      </c>
      <c r="J19" s="12">
        <f t="shared" si="5"/>
        <v>1071</v>
      </c>
      <c r="K19" s="12">
        <f t="shared" si="5"/>
        <v>1042</v>
      </c>
      <c r="L19" s="12">
        <f t="shared" si="5"/>
        <v>486</v>
      </c>
      <c r="M19" s="12">
        <f t="shared" si="5"/>
        <v>386</v>
      </c>
      <c r="N19" s="12">
        <f t="shared" si="5"/>
        <v>755</v>
      </c>
      <c r="O19" s="12">
        <f t="shared" si="5"/>
        <v>496</v>
      </c>
      <c r="P19" s="12">
        <f t="shared" si="5"/>
        <v>423</v>
      </c>
      <c r="Q19" s="12">
        <f t="shared" si="5"/>
        <v>331</v>
      </c>
      <c r="R19" s="12">
        <f t="shared" si="5"/>
        <v>328</v>
      </c>
      <c r="S19" s="12">
        <f t="shared" si="5"/>
        <v>384</v>
      </c>
      <c r="T19" s="12">
        <f>T20+T21</f>
        <v>379</v>
      </c>
      <c r="U19" s="12">
        <f aca="true" t="shared" si="6" ref="U19:Z19">U20+U21</f>
        <v>316</v>
      </c>
      <c r="V19" s="12">
        <f t="shared" si="6"/>
        <v>342.727</v>
      </c>
      <c r="W19" s="12">
        <f>W20+W21+W22</f>
        <v>325.077</v>
      </c>
      <c r="X19" s="12">
        <f>X20+X21+X22</f>
        <v>459.11600000000004</v>
      </c>
      <c r="Y19" s="12">
        <f>Y20+Y21+Y22</f>
        <v>238.68599999999998</v>
      </c>
      <c r="Z19" s="12">
        <f>Z20+Z21+Z22</f>
        <v>422.649</v>
      </c>
      <c r="AA19" s="12">
        <f>AA20+AA21+AA22</f>
        <v>715.826</v>
      </c>
    </row>
    <row r="20" spans="1:27" ht="19.5" customHeight="1">
      <c r="A20" s="14"/>
      <c r="C20" s="4" t="s">
        <v>39</v>
      </c>
      <c r="D20" s="4"/>
      <c r="E20" s="12">
        <v>821</v>
      </c>
      <c r="F20" s="12">
        <v>1156</v>
      </c>
      <c r="G20" s="12">
        <v>1287</v>
      </c>
      <c r="H20" s="12">
        <v>1008</v>
      </c>
      <c r="I20" s="12">
        <v>757</v>
      </c>
      <c r="J20" s="12">
        <v>1071</v>
      </c>
      <c r="K20" s="12">
        <v>1042</v>
      </c>
      <c r="L20" s="12">
        <v>486</v>
      </c>
      <c r="M20" s="12">
        <v>386</v>
      </c>
      <c r="N20" s="12">
        <v>755</v>
      </c>
      <c r="O20" s="12">
        <v>496</v>
      </c>
      <c r="P20" s="12">
        <v>423</v>
      </c>
      <c r="Q20" s="12">
        <v>331</v>
      </c>
      <c r="R20" s="12">
        <v>328</v>
      </c>
      <c r="S20" s="12">
        <v>384</v>
      </c>
      <c r="T20" s="12">
        <v>369</v>
      </c>
      <c r="U20" s="12">
        <v>309</v>
      </c>
      <c r="V20" s="12">
        <f>334943/1000</f>
        <v>334.943</v>
      </c>
      <c r="W20" s="12">
        <f>318018/1000</f>
        <v>318.018</v>
      </c>
      <c r="X20" s="12">
        <f>337999/1000</f>
        <v>337.999</v>
      </c>
      <c r="Y20" s="12">
        <f>66860/1000</f>
        <v>66.86</v>
      </c>
      <c r="Z20" s="12">
        <f>422649/1000</f>
        <v>422.649</v>
      </c>
      <c r="AA20" s="12">
        <f>432666/1000</f>
        <v>432.666</v>
      </c>
    </row>
    <row r="21" spans="1:27" ht="19.5" customHeight="1">
      <c r="A21" s="14"/>
      <c r="C21" s="4" t="s">
        <v>38</v>
      </c>
      <c r="D21" s="4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>
        <v>10</v>
      </c>
      <c r="U21" s="12">
        <v>7</v>
      </c>
      <c r="V21" s="12">
        <f>7784/1000</f>
        <v>7.784</v>
      </c>
      <c r="W21" s="12">
        <f>7059/1000</f>
        <v>7.059</v>
      </c>
      <c r="X21" s="12">
        <v>1.8</v>
      </c>
      <c r="Y21" s="12">
        <f>219/1000</f>
        <v>0.219</v>
      </c>
      <c r="Z21" s="12">
        <v>0</v>
      </c>
      <c r="AA21" s="12">
        <f>4939/1000</f>
        <v>4.939</v>
      </c>
    </row>
    <row r="22" spans="1:27" ht="19.5" customHeight="1">
      <c r="A22" s="14"/>
      <c r="C22" s="4" t="s">
        <v>51</v>
      </c>
      <c r="D22" s="4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>
        <f>119317/1000</f>
        <v>119.317</v>
      </c>
      <c r="Y22" s="12">
        <f>171607/1000</f>
        <v>171.607</v>
      </c>
      <c r="Z22" s="12"/>
      <c r="AA22" s="12">
        <f>278221/1000</f>
        <v>278.221</v>
      </c>
    </row>
    <row r="23" spans="1:27" ht="19.5" customHeight="1">
      <c r="A23" s="38"/>
      <c r="B23" s="39" t="s">
        <v>41</v>
      </c>
      <c r="C23" s="39"/>
      <c r="D23" s="39"/>
      <c r="E23" s="40">
        <v>46</v>
      </c>
      <c r="F23" s="40">
        <v>60</v>
      </c>
      <c r="G23" s="40">
        <v>75</v>
      </c>
      <c r="H23" s="40">
        <v>67</v>
      </c>
      <c r="I23" s="40">
        <v>63</v>
      </c>
      <c r="J23" s="40">
        <v>99</v>
      </c>
      <c r="K23" s="40">
        <v>81</v>
      </c>
      <c r="L23" s="40">
        <v>40</v>
      </c>
      <c r="M23" s="40">
        <v>25</v>
      </c>
      <c r="N23" s="40">
        <v>23</v>
      </c>
      <c r="O23" s="40">
        <v>43</v>
      </c>
      <c r="P23" s="40">
        <v>23</v>
      </c>
      <c r="Q23" s="40">
        <v>33</v>
      </c>
      <c r="R23" s="40">
        <v>32</v>
      </c>
      <c r="S23" s="40">
        <v>75</v>
      </c>
      <c r="T23" s="40">
        <v>79</v>
      </c>
      <c r="U23" s="40">
        <f>71777/1000</f>
        <v>71.777</v>
      </c>
      <c r="V23" s="40">
        <f>71300/1000</f>
        <v>71.3</v>
      </c>
      <c r="W23" s="40">
        <f>83215/1000</f>
        <v>83.215</v>
      </c>
      <c r="X23" s="40">
        <f>72564/1000</f>
        <v>72.564</v>
      </c>
      <c r="Y23" s="40">
        <f>63497/1000</f>
        <v>63.497</v>
      </c>
      <c r="Z23" s="40">
        <f>51757/1000</f>
        <v>51.757</v>
      </c>
      <c r="AA23" s="40">
        <f>53535/1000</f>
        <v>53.535</v>
      </c>
    </row>
    <row r="24" spans="1:27" ht="19.5" customHeight="1">
      <c r="A24" s="37" t="s">
        <v>16</v>
      </c>
      <c r="D24" s="4"/>
      <c r="E24" s="12">
        <v>88</v>
      </c>
      <c r="F24" s="12">
        <v>20</v>
      </c>
      <c r="G24" s="12">
        <v>20</v>
      </c>
      <c r="H24" s="12">
        <v>19</v>
      </c>
      <c r="I24" s="12">
        <v>19</v>
      </c>
      <c r="J24" s="12">
        <v>19</v>
      </c>
      <c r="K24" s="12">
        <v>19</v>
      </c>
      <c r="L24" s="12">
        <v>18</v>
      </c>
      <c r="M24" s="12">
        <v>16</v>
      </c>
      <c r="N24" s="12">
        <v>15</v>
      </c>
      <c r="O24" s="12">
        <v>18.15</v>
      </c>
      <c r="P24" s="12">
        <v>15</v>
      </c>
      <c r="Q24" s="12">
        <v>15</v>
      </c>
      <c r="R24" s="12">
        <v>16</v>
      </c>
      <c r="S24" s="12">
        <v>16</v>
      </c>
      <c r="T24" s="12">
        <v>16</v>
      </c>
      <c r="U24" s="12">
        <v>18</v>
      </c>
      <c r="V24" s="12">
        <v>17</v>
      </c>
      <c r="W24" s="12">
        <v>17</v>
      </c>
      <c r="X24" s="12">
        <v>17</v>
      </c>
      <c r="Y24" s="12">
        <v>17</v>
      </c>
      <c r="Z24" s="12">
        <v>18</v>
      </c>
      <c r="AA24" s="12">
        <v>18</v>
      </c>
    </row>
    <row r="25" spans="1:28" ht="19.5" customHeight="1">
      <c r="A25" s="18" t="s">
        <v>17</v>
      </c>
      <c r="B25" s="19"/>
      <c r="C25" s="19"/>
      <c r="D25" s="19"/>
      <c r="E25" s="20">
        <v>10314</v>
      </c>
      <c r="F25" s="20">
        <v>11984</v>
      </c>
      <c r="G25" s="20">
        <v>10454</v>
      </c>
      <c r="H25" s="20">
        <v>10158</v>
      </c>
      <c r="I25" s="20">
        <v>10481</v>
      </c>
      <c r="J25" s="20">
        <v>10668</v>
      </c>
      <c r="K25" s="20">
        <v>10198</v>
      </c>
      <c r="L25" s="20">
        <v>9351</v>
      </c>
      <c r="M25" s="20">
        <v>9130</v>
      </c>
      <c r="N25" s="20">
        <v>8999.361</v>
      </c>
      <c r="O25" s="20">
        <v>9492</v>
      </c>
      <c r="P25" s="20">
        <f>P26+P27</f>
        <v>8005</v>
      </c>
      <c r="Q25" s="20">
        <v>7857</v>
      </c>
      <c r="R25" s="20">
        <v>8602</v>
      </c>
      <c r="S25" s="20">
        <v>8867</v>
      </c>
      <c r="T25" s="20">
        <f aca="true" t="shared" si="7" ref="T25:Y25">T26+T27</f>
        <v>9871</v>
      </c>
      <c r="U25" s="20">
        <f t="shared" si="7"/>
        <v>9498.868</v>
      </c>
      <c r="V25" s="20">
        <f t="shared" si="7"/>
        <v>9351.35</v>
      </c>
      <c r="W25" s="20">
        <f t="shared" si="7"/>
        <v>9569.356</v>
      </c>
      <c r="X25" s="20">
        <f t="shared" si="7"/>
        <v>10767.537</v>
      </c>
      <c r="Y25" s="20">
        <f t="shared" si="7"/>
        <v>11280.21</v>
      </c>
      <c r="Z25" s="20">
        <f>11806572/1000</f>
        <v>11806.572</v>
      </c>
      <c r="AA25" s="20">
        <f>12328752/1000</f>
        <v>12328.752</v>
      </c>
      <c r="AB25" s="6"/>
    </row>
    <row r="26" spans="1:27" ht="19.5" customHeight="1">
      <c r="A26" s="14"/>
      <c r="B26" s="4" t="s">
        <v>36</v>
      </c>
      <c r="C26" s="4"/>
      <c r="D26" s="4"/>
      <c r="E26" s="12">
        <v>4931</v>
      </c>
      <c r="F26" s="12">
        <v>5270</v>
      </c>
      <c r="G26" s="12">
        <v>5222</v>
      </c>
      <c r="H26" s="12">
        <v>5143</v>
      </c>
      <c r="I26" s="12">
        <v>5959</v>
      </c>
      <c r="J26" s="12">
        <v>5833</v>
      </c>
      <c r="K26" s="12">
        <v>5924.566</v>
      </c>
      <c r="L26" s="12">
        <v>5378</v>
      </c>
      <c r="M26" s="12">
        <v>5031</v>
      </c>
      <c r="N26" s="12">
        <v>5087</v>
      </c>
      <c r="O26" s="12">
        <v>5600</v>
      </c>
      <c r="P26" s="12">
        <v>4841</v>
      </c>
      <c r="Q26" s="12">
        <v>4575</v>
      </c>
      <c r="R26" s="12">
        <v>4893</v>
      </c>
      <c r="S26" s="12">
        <v>5212</v>
      </c>
      <c r="T26" s="12">
        <v>5725</v>
      </c>
      <c r="U26" s="12">
        <f>5330194/1000</f>
        <v>5330.194</v>
      </c>
      <c r="V26" s="12">
        <f>5334027/1000</f>
        <v>5334.027</v>
      </c>
      <c r="W26" s="12">
        <f>5205890/1000</f>
        <v>5205.89</v>
      </c>
      <c r="X26" s="12">
        <f>6331312/1000</f>
        <v>6331.312</v>
      </c>
      <c r="Y26" s="12">
        <f>6399036/1000</f>
        <v>6399.036</v>
      </c>
      <c r="Z26" s="12">
        <f>6651134/1000</f>
        <v>6651.134</v>
      </c>
      <c r="AA26" s="12">
        <f>7207047/1000</f>
        <v>7207.047</v>
      </c>
    </row>
    <row r="27" spans="1:27" ht="19.5" customHeight="1" thickBot="1">
      <c r="A27" s="14"/>
      <c r="B27" s="4" t="s">
        <v>42</v>
      </c>
      <c r="C27" s="4"/>
      <c r="D27" s="4"/>
      <c r="E27" s="12">
        <v>5383</v>
      </c>
      <c r="F27" s="12">
        <v>6264</v>
      </c>
      <c r="G27" s="12">
        <v>5232</v>
      </c>
      <c r="H27" s="12">
        <v>5015</v>
      </c>
      <c r="I27" s="12">
        <v>4522</v>
      </c>
      <c r="J27" s="12">
        <v>4835</v>
      </c>
      <c r="K27" s="12">
        <v>4273.434</v>
      </c>
      <c r="L27" s="12">
        <v>3973</v>
      </c>
      <c r="M27" s="12">
        <v>4099</v>
      </c>
      <c r="N27" s="12">
        <v>3912</v>
      </c>
      <c r="O27" s="12">
        <v>3892</v>
      </c>
      <c r="P27" s="12">
        <v>3164</v>
      </c>
      <c r="Q27" s="12">
        <v>3282</v>
      </c>
      <c r="R27" s="12">
        <v>3709</v>
      </c>
      <c r="S27" s="12">
        <v>3652</v>
      </c>
      <c r="T27" s="12">
        <v>4146</v>
      </c>
      <c r="U27" s="12">
        <f>4168674/1000</f>
        <v>4168.674</v>
      </c>
      <c r="V27" s="12">
        <f>4017323/1000</f>
        <v>4017.323</v>
      </c>
      <c r="W27" s="12">
        <f>4363466/1000</f>
        <v>4363.466</v>
      </c>
      <c r="X27" s="12">
        <f>4436225/1000</f>
        <v>4436.225</v>
      </c>
      <c r="Y27" s="12">
        <f>4881174/1000</f>
        <v>4881.174</v>
      </c>
      <c r="Z27" s="12">
        <f>5155438/1000</f>
        <v>5155.438</v>
      </c>
      <c r="AA27" s="12">
        <f>5121705/1000</f>
        <v>5121.705</v>
      </c>
    </row>
    <row r="28" spans="1:29" ht="19.5" customHeight="1" thickBot="1">
      <c r="A28" s="33" t="s">
        <v>14</v>
      </c>
      <c r="B28" s="34"/>
      <c r="C28" s="34"/>
      <c r="D28" s="34"/>
      <c r="E28" s="35">
        <v>4709</v>
      </c>
      <c r="F28" s="35">
        <v>4652</v>
      </c>
      <c r="G28" s="35">
        <v>5315</v>
      </c>
      <c r="H28" s="35">
        <v>4911</v>
      </c>
      <c r="I28" s="35">
        <v>4901</v>
      </c>
      <c r="J28" s="35">
        <v>4700</v>
      </c>
      <c r="K28" s="35">
        <v>4524</v>
      </c>
      <c r="L28" s="35">
        <v>4570</v>
      </c>
      <c r="M28" s="35">
        <v>4965</v>
      </c>
      <c r="N28" s="35">
        <v>4725</v>
      </c>
      <c r="O28" s="35">
        <v>4892.85</v>
      </c>
      <c r="P28" s="35">
        <v>4994</v>
      </c>
      <c r="Q28" s="35">
        <v>4164</v>
      </c>
      <c r="R28" s="35">
        <v>4289</v>
      </c>
      <c r="S28" s="35">
        <v>4940</v>
      </c>
      <c r="T28" s="35">
        <v>4686</v>
      </c>
      <c r="U28" s="35">
        <v>5273</v>
      </c>
      <c r="V28" s="35">
        <f>(V14-V25)-(V15-V18-V24)</f>
        <v>5935.343999999999</v>
      </c>
      <c r="W28" s="35">
        <f>5389998/1000</f>
        <v>5389.998</v>
      </c>
      <c r="X28" s="35">
        <f>4373555/1000</f>
        <v>4373.555</v>
      </c>
      <c r="Y28" s="35">
        <f>5269028/1000</f>
        <v>5269.028</v>
      </c>
      <c r="Z28" s="35">
        <f>6057713/1000</f>
        <v>6057.713</v>
      </c>
      <c r="AA28" s="35">
        <f>5499606/1000</f>
        <v>5499.606</v>
      </c>
      <c r="AB28" s="6"/>
      <c r="AC28" s="6"/>
    </row>
    <row r="29" spans="5:27" ht="8.25" customHeight="1" thickBot="1"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</row>
    <row r="30" spans="1:27" ht="29.25" customHeight="1" thickBot="1">
      <c r="A30" s="24" t="s">
        <v>18</v>
      </c>
      <c r="B30" s="25"/>
      <c r="C30" s="25"/>
      <c r="D30" s="26"/>
      <c r="E30" s="36">
        <v>1257</v>
      </c>
      <c r="F30" s="36">
        <v>1670</v>
      </c>
      <c r="G30" s="36">
        <v>-1530</v>
      </c>
      <c r="H30" s="36">
        <v>-296</v>
      </c>
      <c r="I30" s="36">
        <v>323</v>
      </c>
      <c r="J30" s="36">
        <v>187</v>
      </c>
      <c r="K30" s="36">
        <v>-470</v>
      </c>
      <c r="L30" s="36">
        <v>-847</v>
      </c>
      <c r="M30" s="36">
        <v>-221</v>
      </c>
      <c r="N30" s="36">
        <v>-131</v>
      </c>
      <c r="O30" s="36">
        <v>493</v>
      </c>
      <c r="P30" s="36">
        <f>P25-O25</f>
        <v>-1487</v>
      </c>
      <c r="Q30" s="36">
        <f>Q25-P25</f>
        <v>-148</v>
      </c>
      <c r="R30" s="36">
        <f>R25-Q25</f>
        <v>745</v>
      </c>
      <c r="S30" s="36">
        <f>S25-R25</f>
        <v>265</v>
      </c>
      <c r="T30" s="36">
        <f aca="true" t="shared" si="8" ref="T30:AA30">T25-S25</f>
        <v>1004</v>
      </c>
      <c r="U30" s="36">
        <f t="shared" si="8"/>
        <v>-372.1319999999996</v>
      </c>
      <c r="V30" s="36">
        <f t="shared" si="8"/>
        <v>-147.51800000000003</v>
      </c>
      <c r="W30" s="36">
        <f t="shared" si="8"/>
        <v>218.0059999999994</v>
      </c>
      <c r="X30" s="36">
        <f t="shared" si="8"/>
        <v>1198.1810000000005</v>
      </c>
      <c r="Y30" s="36">
        <f t="shared" si="8"/>
        <v>512.6729999999989</v>
      </c>
      <c r="Z30" s="36">
        <f t="shared" si="8"/>
        <v>526.362000000001</v>
      </c>
      <c r="AA30" s="45">
        <f t="shared" si="8"/>
        <v>522.1800000000003</v>
      </c>
    </row>
    <row r="31" ht="15.75" customHeight="1"/>
    <row r="32" spans="1:27" ht="15">
      <c r="A32" s="7" t="s">
        <v>20</v>
      </c>
      <c r="S32" s="2"/>
      <c r="X32" s="6"/>
      <c r="Y32" s="6"/>
      <c r="Z32" s="6"/>
      <c r="AA32" s="6"/>
    </row>
    <row r="34" spans="1:22" ht="15">
      <c r="A34" s="1" t="s">
        <v>43</v>
      </c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</row>
    <row r="35" spans="7:22" ht="15"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</row>
    <row r="36" spans="7:22" ht="15"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</row>
    <row r="37" spans="7:22" ht="15"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</row>
    <row r="38" spans="7:22" ht="15"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</row>
    <row r="39" spans="7:22" ht="15"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</row>
  </sheetData>
  <sheetProtection/>
  <mergeCells count="2">
    <mergeCell ref="A5:D5"/>
    <mergeCell ref="E2:N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39"/>
  <sheetViews>
    <sheetView zoomScalePageLayoutView="0" workbookViewId="0" topLeftCell="A1">
      <pane xSplit="4" ySplit="6" topLeftCell="E20" activePane="bottomRight" state="frozen"/>
      <selection pane="topLeft" activeCell="A1" sqref="A1"/>
      <selection pane="topRight" activeCell="D1" sqref="D1"/>
      <selection pane="bottomLeft" activeCell="A7" sqref="A7"/>
      <selection pane="bottomRight" activeCell="K35" sqref="K35"/>
    </sheetView>
  </sheetViews>
  <sheetFormatPr defaultColWidth="7.00390625" defaultRowHeight="15"/>
  <cols>
    <col min="1" max="1" width="4.140625" style="1" customWidth="1"/>
    <col min="2" max="2" width="2.421875" style="1" customWidth="1"/>
    <col min="3" max="3" width="3.140625" style="1" customWidth="1"/>
    <col min="4" max="4" width="25.28125" style="1" customWidth="1"/>
    <col min="5" max="9" width="10.7109375" style="2" customWidth="1"/>
    <col min="10" max="16" width="10.7109375" style="1" customWidth="1"/>
    <col min="17" max="17" width="10.7109375" style="54" customWidth="1"/>
    <col min="18" max="46" width="10.7109375" style="1" customWidth="1"/>
    <col min="47" max="16384" width="7.00390625" style="1" customWidth="1"/>
  </cols>
  <sheetData>
    <row r="1" spans="5:17" s="46" customFormat="1" ht="15" customHeight="1">
      <c r="E1" s="47"/>
      <c r="F1" s="47"/>
      <c r="G1" s="47"/>
      <c r="H1" s="47"/>
      <c r="I1" s="47"/>
      <c r="Q1" s="54"/>
    </row>
    <row r="2" spans="5:17" s="46" customFormat="1" ht="58.5" customHeight="1">
      <c r="E2" s="65" t="s">
        <v>53</v>
      </c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</row>
    <row r="3" spans="5:17" s="46" customFormat="1" ht="12.75" customHeight="1">
      <c r="E3" s="47"/>
      <c r="F3" s="47"/>
      <c r="G3" s="47"/>
      <c r="H3" s="47"/>
      <c r="I3" s="47"/>
      <c r="Q3" s="54"/>
    </row>
    <row r="4" ht="5.25" customHeight="1" thickBot="1"/>
    <row r="5" spans="1:18" s="3" customFormat="1" ht="29.25" customHeight="1" thickBot="1">
      <c r="A5" s="62" t="s">
        <v>0</v>
      </c>
      <c r="B5" s="63"/>
      <c r="C5" s="63"/>
      <c r="D5" s="64"/>
      <c r="E5" s="11" t="s">
        <v>10</v>
      </c>
      <c r="F5" s="11" t="s">
        <v>11</v>
      </c>
      <c r="G5" s="11" t="s">
        <v>19</v>
      </c>
      <c r="H5" s="11" t="s">
        <v>21</v>
      </c>
      <c r="I5" s="11" t="s">
        <v>23</v>
      </c>
      <c r="J5" s="11" t="s">
        <v>22</v>
      </c>
      <c r="K5" s="11" t="s">
        <v>28</v>
      </c>
      <c r="L5" s="11" t="s">
        <v>29</v>
      </c>
      <c r="M5" s="11" t="s">
        <v>30</v>
      </c>
      <c r="N5" s="11" t="s">
        <v>31</v>
      </c>
      <c r="O5" s="11" t="s">
        <v>32</v>
      </c>
      <c r="P5" s="11" t="s">
        <v>33</v>
      </c>
      <c r="Q5" s="11" t="s">
        <v>50</v>
      </c>
      <c r="R5" s="50" t="s">
        <v>49</v>
      </c>
    </row>
    <row r="6" spans="1:18" s="3" customFormat="1" ht="5.25" customHeight="1" thickBot="1">
      <c r="A6" s="13"/>
      <c r="B6" s="8"/>
      <c r="C6" s="8"/>
      <c r="D6" s="8"/>
      <c r="E6" s="9"/>
      <c r="F6" s="9"/>
      <c r="G6" s="9"/>
      <c r="H6" s="9"/>
      <c r="I6" s="9"/>
      <c r="J6" s="8"/>
      <c r="K6" s="8"/>
      <c r="L6" s="8"/>
      <c r="M6" s="8"/>
      <c r="N6" s="8"/>
      <c r="O6" s="8"/>
      <c r="P6" s="8"/>
      <c r="Q6" s="55"/>
      <c r="R6" s="8"/>
    </row>
    <row r="7" spans="1:18" ht="19.5" customHeight="1">
      <c r="A7" s="42" t="s">
        <v>24</v>
      </c>
      <c r="B7" s="43"/>
      <c r="C7" s="43"/>
      <c r="D7" s="43"/>
      <c r="E7" s="44">
        <f aca="true" t="shared" si="0" ref="E7:O7">E8+E9</f>
        <v>6792</v>
      </c>
      <c r="F7" s="44">
        <f t="shared" si="0"/>
        <v>6594</v>
      </c>
      <c r="G7" s="44">
        <f t="shared" si="0"/>
        <v>6538</v>
      </c>
      <c r="H7" s="44">
        <f t="shared" si="0"/>
        <v>6289</v>
      </c>
      <c r="I7" s="44">
        <f t="shared" si="0"/>
        <v>5713</v>
      </c>
      <c r="J7" s="44">
        <f t="shared" si="0"/>
        <v>6484</v>
      </c>
      <c r="K7" s="44">
        <f t="shared" si="0"/>
        <v>6556</v>
      </c>
      <c r="L7" s="44">
        <f t="shared" si="0"/>
        <v>7660</v>
      </c>
      <c r="M7" s="44">
        <f t="shared" si="0"/>
        <v>7497</v>
      </c>
      <c r="N7" s="44">
        <f t="shared" si="0"/>
        <v>7635</v>
      </c>
      <c r="O7" s="44">
        <f t="shared" si="0"/>
        <v>7658.327</v>
      </c>
      <c r="P7" s="44">
        <f>8606365/1000</f>
        <v>8606.365</v>
      </c>
      <c r="Q7" s="44">
        <f>9013243/1000</f>
        <v>9013.243</v>
      </c>
      <c r="R7" s="44">
        <v>9705</v>
      </c>
    </row>
    <row r="8" spans="1:18" s="5" customFormat="1" ht="19.5" customHeight="1">
      <c r="A8" s="21"/>
      <c r="B8" s="22" t="s">
        <v>36</v>
      </c>
      <c r="C8" s="22"/>
      <c r="D8" s="22"/>
      <c r="E8" s="23">
        <v>4015</v>
      </c>
      <c r="F8" s="23">
        <v>3986</v>
      </c>
      <c r="G8" s="23">
        <v>3859</v>
      </c>
      <c r="H8" s="23">
        <v>3934</v>
      </c>
      <c r="I8" s="23">
        <v>3372</v>
      </c>
      <c r="J8" s="23">
        <v>3787</v>
      </c>
      <c r="K8" s="23">
        <v>4113</v>
      </c>
      <c r="L8" s="23">
        <v>4508</v>
      </c>
      <c r="M8" s="23">
        <v>4331</v>
      </c>
      <c r="N8" s="23">
        <v>4423</v>
      </c>
      <c r="O8" s="23">
        <v>4494.612</v>
      </c>
      <c r="P8" s="23">
        <f>5471243/1000</f>
        <v>5471.243</v>
      </c>
      <c r="Q8" s="41">
        <f>5610168/1000</f>
        <v>5610.168</v>
      </c>
      <c r="R8" s="23">
        <v>5890</v>
      </c>
    </row>
    <row r="9" spans="1:18" s="5" customFormat="1" ht="19.5" customHeight="1">
      <c r="A9" s="21"/>
      <c r="B9" s="22" t="s">
        <v>37</v>
      </c>
      <c r="C9" s="22"/>
      <c r="D9" s="22"/>
      <c r="E9" s="23">
        <v>2777</v>
      </c>
      <c r="F9" s="23">
        <v>2608</v>
      </c>
      <c r="G9" s="23">
        <v>2679</v>
      </c>
      <c r="H9" s="23">
        <v>2355</v>
      </c>
      <c r="I9" s="23">
        <v>2341</v>
      </c>
      <c r="J9" s="23">
        <v>2697</v>
      </c>
      <c r="K9" s="23">
        <v>2443</v>
      </c>
      <c r="L9" s="23">
        <v>3152</v>
      </c>
      <c r="M9" s="23">
        <v>3166</v>
      </c>
      <c r="N9" s="23">
        <v>3212</v>
      </c>
      <c r="O9" s="23">
        <v>3163.715</v>
      </c>
      <c r="P9" s="23">
        <f>3135122/1000</f>
        <v>3135.122</v>
      </c>
      <c r="Q9" s="41">
        <f>Q7+Q10</f>
        <v>15598.577000000001</v>
      </c>
      <c r="R9" s="23">
        <v>3815</v>
      </c>
    </row>
    <row r="10" spans="1:18" ht="19.5" customHeight="1">
      <c r="A10" s="18" t="s">
        <v>25</v>
      </c>
      <c r="B10" s="19"/>
      <c r="C10" s="19"/>
      <c r="D10" s="19"/>
      <c r="E10" s="20">
        <v>4279</v>
      </c>
      <c r="F10" s="20">
        <v>5026</v>
      </c>
      <c r="G10" s="20">
        <v>4102</v>
      </c>
      <c r="H10" s="20">
        <v>4279</v>
      </c>
      <c r="I10" s="20">
        <v>4729</v>
      </c>
      <c r="J10" s="20">
        <v>4772</v>
      </c>
      <c r="K10" s="20">
        <v>5538</v>
      </c>
      <c r="L10" s="20">
        <v>4901</v>
      </c>
      <c r="M10" s="20">
        <v>5535</v>
      </c>
      <c r="N10" s="20">
        <v>5227</v>
      </c>
      <c r="O10" s="20">
        <v>5761</v>
      </c>
      <c r="P10" s="20">
        <f>5788945/1000</f>
        <v>5788.945</v>
      </c>
      <c r="Q10" s="20">
        <f>6585334/1000</f>
        <v>6585.334</v>
      </c>
      <c r="R10" s="20">
        <v>6294</v>
      </c>
    </row>
    <row r="11" spans="1:18" ht="19.5" customHeight="1">
      <c r="A11" s="18" t="s">
        <v>26</v>
      </c>
      <c r="B11" s="19"/>
      <c r="C11" s="19"/>
      <c r="D11" s="19"/>
      <c r="E11" s="20">
        <f aca="true" t="shared" si="1" ref="E11:P11">E12+E13</f>
        <v>1011</v>
      </c>
      <c r="F11" s="20">
        <f t="shared" si="1"/>
        <v>212</v>
      </c>
      <c r="G11" s="20">
        <f t="shared" si="1"/>
        <v>185</v>
      </c>
      <c r="H11" s="20">
        <f t="shared" si="1"/>
        <v>169</v>
      </c>
      <c r="I11" s="20">
        <f t="shared" si="1"/>
        <v>181</v>
      </c>
      <c r="J11" s="20">
        <f t="shared" si="1"/>
        <v>212</v>
      </c>
      <c r="K11" s="20">
        <f t="shared" si="1"/>
        <v>208</v>
      </c>
      <c r="L11" s="20">
        <f t="shared" si="1"/>
        <v>173</v>
      </c>
      <c r="M11" s="20">
        <f t="shared" si="1"/>
        <v>184.54999999999998</v>
      </c>
      <c r="N11" s="20">
        <f t="shared" si="1"/>
        <v>234</v>
      </c>
      <c r="O11" s="20">
        <f t="shared" si="1"/>
        <v>0</v>
      </c>
      <c r="P11" s="20">
        <f t="shared" si="1"/>
        <v>217.526</v>
      </c>
      <c r="Q11" s="20">
        <v>317</v>
      </c>
      <c r="R11" s="20">
        <v>268</v>
      </c>
    </row>
    <row r="12" spans="1:18" s="5" customFormat="1" ht="19.5" customHeight="1">
      <c r="A12" s="21"/>
      <c r="B12" s="22" t="s">
        <v>34</v>
      </c>
      <c r="C12" s="22"/>
      <c r="D12" s="22"/>
      <c r="E12" s="23">
        <v>994</v>
      </c>
      <c r="F12" s="23">
        <v>211</v>
      </c>
      <c r="G12" s="23">
        <v>185</v>
      </c>
      <c r="H12" s="23">
        <v>169</v>
      </c>
      <c r="I12" s="23">
        <v>181</v>
      </c>
      <c r="J12" s="23">
        <v>211</v>
      </c>
      <c r="K12" s="23">
        <v>208</v>
      </c>
      <c r="L12" s="23">
        <v>173</v>
      </c>
      <c r="M12" s="23">
        <v>184.2</v>
      </c>
      <c r="N12" s="23">
        <v>234</v>
      </c>
      <c r="O12" s="23"/>
      <c r="P12" s="23">
        <f>216983/1000</f>
        <v>216.983</v>
      </c>
      <c r="Q12" s="41">
        <v>317</v>
      </c>
      <c r="R12" s="23">
        <v>268</v>
      </c>
    </row>
    <row r="13" spans="1:18" s="5" customFormat="1" ht="19.5" customHeight="1" thickBot="1">
      <c r="A13" s="21"/>
      <c r="B13" s="22" t="s">
        <v>35</v>
      </c>
      <c r="C13" s="22"/>
      <c r="D13" s="22"/>
      <c r="E13" s="23">
        <v>17</v>
      </c>
      <c r="F13" s="23">
        <v>1</v>
      </c>
      <c r="G13" s="41">
        <v>0</v>
      </c>
      <c r="H13" s="23">
        <v>0</v>
      </c>
      <c r="I13" s="23">
        <v>0</v>
      </c>
      <c r="J13" s="23">
        <v>1</v>
      </c>
      <c r="K13" s="23">
        <v>0</v>
      </c>
      <c r="L13" s="23">
        <v>0</v>
      </c>
      <c r="M13" s="23">
        <v>0.35</v>
      </c>
      <c r="N13" s="23">
        <v>0</v>
      </c>
      <c r="O13" s="23"/>
      <c r="P13" s="23">
        <f>543/1000</f>
        <v>0.543</v>
      </c>
      <c r="Q13" s="41">
        <f>354/1000</f>
        <v>0.354</v>
      </c>
      <c r="R13" s="23">
        <v>0</v>
      </c>
    </row>
    <row r="14" spans="1:18" s="5" customFormat="1" ht="19.5" customHeight="1" thickBot="1">
      <c r="A14" s="16" t="s">
        <v>12</v>
      </c>
      <c r="B14" s="17"/>
      <c r="C14" s="17"/>
      <c r="D14" s="17"/>
      <c r="E14" s="15">
        <f aca="true" t="shared" si="2" ref="E14:J14">E7+E10+E11</f>
        <v>12082</v>
      </c>
      <c r="F14" s="15">
        <f t="shared" si="2"/>
        <v>11832</v>
      </c>
      <c r="G14" s="15">
        <f t="shared" si="2"/>
        <v>10825</v>
      </c>
      <c r="H14" s="15">
        <f t="shared" si="2"/>
        <v>10737</v>
      </c>
      <c r="I14" s="15">
        <f t="shared" si="2"/>
        <v>10623</v>
      </c>
      <c r="J14" s="15">
        <f t="shared" si="2"/>
        <v>11468</v>
      </c>
      <c r="K14" s="15">
        <f>K7+K10+K11</f>
        <v>12302</v>
      </c>
      <c r="L14" s="15">
        <f aca="true" t="shared" si="3" ref="L14:Q14">L7+L10+L11</f>
        <v>12734</v>
      </c>
      <c r="M14" s="15">
        <f t="shared" si="3"/>
        <v>13216.55</v>
      </c>
      <c r="N14" s="15">
        <f t="shared" si="3"/>
        <v>13096</v>
      </c>
      <c r="O14" s="15">
        <f t="shared" si="3"/>
        <v>13419.327000000001</v>
      </c>
      <c r="P14" s="15">
        <f t="shared" si="3"/>
        <v>14612.836</v>
      </c>
      <c r="Q14" s="15">
        <f t="shared" si="3"/>
        <v>15915.577000000001</v>
      </c>
      <c r="R14" s="15">
        <v>16207</v>
      </c>
    </row>
    <row r="15" spans="1:18" ht="19.5" customHeight="1">
      <c r="A15" s="27" t="s">
        <v>13</v>
      </c>
      <c r="B15" s="28"/>
      <c r="C15" s="28"/>
      <c r="D15" s="28"/>
      <c r="E15" s="29">
        <f aca="true" t="shared" si="4" ref="E15:J15">E16+E17</f>
        <v>1615</v>
      </c>
      <c r="F15" s="29">
        <f t="shared" si="4"/>
        <v>212</v>
      </c>
      <c r="G15" s="29">
        <f t="shared" si="4"/>
        <v>1638</v>
      </c>
      <c r="H15" s="29">
        <f t="shared" si="4"/>
        <v>1610</v>
      </c>
      <c r="I15" s="29">
        <f t="shared" si="4"/>
        <v>1631</v>
      </c>
      <c r="J15" s="29">
        <f t="shared" si="4"/>
        <v>1642</v>
      </c>
      <c r="K15" s="29">
        <f>K16+K17</f>
        <v>1640</v>
      </c>
      <c r="L15" s="29">
        <f>L16+L17</f>
        <v>1769</v>
      </c>
      <c r="M15" s="29">
        <f>M16+M17</f>
        <v>1817</v>
      </c>
      <c r="N15" s="29">
        <f>N16+N17</f>
        <v>1828</v>
      </c>
      <c r="O15" s="29">
        <f>O16+O17</f>
        <v>196.83999999999997</v>
      </c>
      <c r="P15" s="29">
        <f>P16+P17</f>
        <v>2143.693</v>
      </c>
      <c r="Q15" s="56">
        <v>2087</v>
      </c>
      <c r="R15" s="29">
        <v>1530</v>
      </c>
    </row>
    <row r="16" spans="1:18" ht="19.5" customHeight="1">
      <c r="A16" s="14"/>
      <c r="B16" s="22" t="s">
        <v>34</v>
      </c>
      <c r="C16" s="22"/>
      <c r="D16" s="22"/>
      <c r="E16" s="23">
        <v>990</v>
      </c>
      <c r="F16" s="23">
        <v>211</v>
      </c>
      <c r="G16" s="23">
        <v>1033</v>
      </c>
      <c r="H16" s="23">
        <v>997</v>
      </c>
      <c r="I16" s="23">
        <v>993</v>
      </c>
      <c r="J16" s="23">
        <v>974</v>
      </c>
      <c r="K16" s="23">
        <v>994</v>
      </c>
      <c r="L16" s="23">
        <v>1047</v>
      </c>
      <c r="M16" s="23">
        <v>1055</v>
      </c>
      <c r="N16" s="23">
        <v>1046</v>
      </c>
      <c r="O16" s="23">
        <v>196.39</v>
      </c>
      <c r="P16" s="23">
        <f>1065965/1000</f>
        <v>1065.965</v>
      </c>
      <c r="Q16" s="41">
        <v>1057</v>
      </c>
      <c r="R16" s="23">
        <v>744</v>
      </c>
    </row>
    <row r="17" spans="1:18" ht="19.5" customHeight="1">
      <c r="A17" s="14"/>
      <c r="B17" s="22" t="s">
        <v>27</v>
      </c>
      <c r="C17" s="22"/>
      <c r="D17" s="22"/>
      <c r="E17" s="23">
        <v>625</v>
      </c>
      <c r="F17" s="23">
        <v>1</v>
      </c>
      <c r="G17" s="23">
        <v>605</v>
      </c>
      <c r="H17" s="23">
        <v>613</v>
      </c>
      <c r="I17" s="23">
        <v>638</v>
      </c>
      <c r="J17" s="23">
        <v>668</v>
      </c>
      <c r="K17" s="23">
        <v>646</v>
      </c>
      <c r="L17" s="23">
        <v>722</v>
      </c>
      <c r="M17" s="23">
        <v>762</v>
      </c>
      <c r="N17" s="23">
        <v>782</v>
      </c>
      <c r="O17" s="23">
        <v>0.45</v>
      </c>
      <c r="P17" s="23">
        <f>1077728/1000</f>
        <v>1077.728</v>
      </c>
      <c r="Q17" s="41">
        <v>1029</v>
      </c>
      <c r="R17" s="23">
        <v>786</v>
      </c>
    </row>
    <row r="18" spans="1:18" ht="19.5" customHeight="1">
      <c r="A18" s="30" t="s">
        <v>15</v>
      </c>
      <c r="B18" s="31"/>
      <c r="C18" s="31"/>
      <c r="D18" s="31"/>
      <c r="E18" s="32">
        <f aca="true" t="shared" si="5" ref="E18:J18">E19+E23</f>
        <v>422</v>
      </c>
      <c r="F18" s="32">
        <f t="shared" si="5"/>
        <v>223</v>
      </c>
      <c r="G18" s="32">
        <f t="shared" si="5"/>
        <v>222</v>
      </c>
      <c r="H18" s="32">
        <f t="shared" si="5"/>
        <v>224</v>
      </c>
      <c r="I18" s="32">
        <f t="shared" si="5"/>
        <v>249</v>
      </c>
      <c r="J18" s="32">
        <f t="shared" si="5"/>
        <v>289</v>
      </c>
      <c r="K18" s="32">
        <f>K19+K23</f>
        <v>281</v>
      </c>
      <c r="L18" s="32">
        <f aca="true" t="shared" si="6" ref="L18:Q18">L19+L23</f>
        <v>252</v>
      </c>
      <c r="M18" s="32">
        <f t="shared" si="6"/>
        <v>275</v>
      </c>
      <c r="N18" s="32">
        <f t="shared" si="6"/>
        <v>273</v>
      </c>
      <c r="O18" s="32">
        <f t="shared" si="6"/>
        <v>417</v>
      </c>
      <c r="P18" s="32">
        <f t="shared" si="6"/>
        <v>470</v>
      </c>
      <c r="Q18" s="57">
        <f t="shared" si="6"/>
        <v>298</v>
      </c>
      <c r="R18" s="32">
        <f>R19+R23</f>
        <v>581</v>
      </c>
    </row>
    <row r="19" spans="1:18" ht="19.5" customHeight="1">
      <c r="A19" s="14"/>
      <c r="B19" s="4" t="s">
        <v>40</v>
      </c>
      <c r="C19" s="4"/>
      <c r="D19" s="4"/>
      <c r="E19" s="12">
        <f aca="true" t="shared" si="7" ref="E19:J19">E20+E21</f>
        <v>421</v>
      </c>
      <c r="F19" s="12">
        <f t="shared" si="7"/>
        <v>223</v>
      </c>
      <c r="G19" s="12">
        <f t="shared" si="7"/>
        <v>222</v>
      </c>
      <c r="H19" s="12">
        <f t="shared" si="7"/>
        <v>224</v>
      </c>
      <c r="I19" s="12">
        <f t="shared" si="7"/>
        <v>249</v>
      </c>
      <c r="J19" s="12">
        <f t="shared" si="7"/>
        <v>289</v>
      </c>
      <c r="K19" s="12">
        <f>K20+K21</f>
        <v>281</v>
      </c>
      <c r="L19" s="12">
        <f aca="true" t="shared" si="8" ref="L19:Q19">L20+L21</f>
        <v>252</v>
      </c>
      <c r="M19" s="12">
        <f t="shared" si="8"/>
        <v>275</v>
      </c>
      <c r="N19" s="12">
        <f t="shared" si="8"/>
        <v>273</v>
      </c>
      <c r="O19" s="12">
        <f>O20+O21+O22</f>
        <v>417</v>
      </c>
      <c r="P19" s="12">
        <f>P20+P21+P22</f>
        <v>470</v>
      </c>
      <c r="Q19" s="12">
        <f>Q20+Q21+Q22</f>
        <v>298</v>
      </c>
      <c r="R19" s="12">
        <f>R20+R21+R22</f>
        <v>581</v>
      </c>
    </row>
    <row r="20" spans="1:18" ht="19.5" customHeight="1">
      <c r="A20" s="14"/>
      <c r="C20" s="4" t="s">
        <v>39</v>
      </c>
      <c r="D20" s="4"/>
      <c r="E20" s="12">
        <v>420</v>
      </c>
      <c r="F20" s="12">
        <v>223</v>
      </c>
      <c r="G20" s="12">
        <v>222</v>
      </c>
      <c r="H20" s="12">
        <v>224</v>
      </c>
      <c r="I20" s="12">
        <v>249</v>
      </c>
      <c r="J20" s="12">
        <v>289</v>
      </c>
      <c r="K20" s="12">
        <v>281</v>
      </c>
      <c r="L20" s="12">
        <v>252</v>
      </c>
      <c r="M20" s="12">
        <v>275</v>
      </c>
      <c r="N20" s="12">
        <v>273</v>
      </c>
      <c r="O20" s="12">
        <v>298</v>
      </c>
      <c r="P20" s="12">
        <v>298</v>
      </c>
      <c r="Q20" s="12">
        <v>298</v>
      </c>
      <c r="R20" s="12">
        <v>298</v>
      </c>
    </row>
    <row r="21" spans="1:18" ht="19.5" customHeight="1">
      <c r="A21" s="14"/>
      <c r="C21" s="4" t="s">
        <v>38</v>
      </c>
      <c r="D21" s="4"/>
      <c r="E21" s="12">
        <v>1</v>
      </c>
      <c r="F21" s="12">
        <v>0</v>
      </c>
      <c r="G21" s="12">
        <v>0</v>
      </c>
      <c r="H21" s="12">
        <v>0</v>
      </c>
      <c r="I21" s="12">
        <v>0</v>
      </c>
      <c r="J21" s="12">
        <v>0</v>
      </c>
      <c r="K21" s="12">
        <v>0</v>
      </c>
      <c r="L21" s="12">
        <v>0</v>
      </c>
      <c r="M21" s="12">
        <v>0</v>
      </c>
      <c r="N21" s="12">
        <v>0</v>
      </c>
      <c r="O21" s="12">
        <v>0</v>
      </c>
      <c r="P21" s="12">
        <v>0</v>
      </c>
      <c r="Q21" s="58"/>
      <c r="R21" s="12">
        <v>5</v>
      </c>
    </row>
    <row r="22" spans="1:18" ht="19.5" customHeight="1">
      <c r="A22" s="14"/>
      <c r="C22" s="4" t="s">
        <v>52</v>
      </c>
      <c r="D22" s="4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>
        <v>119</v>
      </c>
      <c r="P22" s="12">
        <v>172</v>
      </c>
      <c r="Q22" s="58"/>
      <c r="R22" s="12">
        <v>278</v>
      </c>
    </row>
    <row r="23" spans="1:18" ht="19.5" customHeight="1">
      <c r="A23" s="38"/>
      <c r="B23" s="39" t="s">
        <v>41</v>
      </c>
      <c r="C23" s="39"/>
      <c r="D23" s="39"/>
      <c r="E23" s="40">
        <v>1</v>
      </c>
      <c r="F23" s="40">
        <v>0</v>
      </c>
      <c r="G23" s="40">
        <v>0</v>
      </c>
      <c r="H23" s="40">
        <v>0</v>
      </c>
      <c r="I23" s="40">
        <v>0</v>
      </c>
      <c r="J23" s="40">
        <v>0</v>
      </c>
      <c r="K23" s="40">
        <v>0</v>
      </c>
      <c r="L23" s="40">
        <v>0</v>
      </c>
      <c r="M23" s="40">
        <v>0</v>
      </c>
      <c r="N23" s="40">
        <v>0</v>
      </c>
      <c r="O23" s="40">
        <v>0</v>
      </c>
      <c r="P23" s="40">
        <v>0</v>
      </c>
      <c r="Q23" s="59">
        <v>0</v>
      </c>
      <c r="R23" s="40">
        <v>0</v>
      </c>
    </row>
    <row r="24" spans="1:18" ht="19.5" customHeight="1">
      <c r="A24" s="37" t="s">
        <v>16</v>
      </c>
      <c r="D24" s="4"/>
      <c r="E24" s="12">
        <v>11</v>
      </c>
      <c r="F24" s="12">
        <v>13.31</v>
      </c>
      <c r="G24" s="12">
        <v>11</v>
      </c>
      <c r="H24" s="12">
        <v>12</v>
      </c>
      <c r="I24" s="12">
        <v>12</v>
      </c>
      <c r="J24" s="12"/>
      <c r="K24" s="12">
        <v>12</v>
      </c>
      <c r="L24" s="12">
        <v>14</v>
      </c>
      <c r="M24" s="12">
        <v>13</v>
      </c>
      <c r="N24" s="12">
        <v>13</v>
      </c>
      <c r="O24" s="12">
        <v>13</v>
      </c>
      <c r="P24" s="12">
        <v>13</v>
      </c>
      <c r="Q24" s="58">
        <v>13.5</v>
      </c>
      <c r="R24" s="12">
        <v>14</v>
      </c>
    </row>
    <row r="25" spans="1:18" ht="19.5" customHeight="1">
      <c r="A25" s="18" t="s">
        <v>17</v>
      </c>
      <c r="B25" s="19"/>
      <c r="C25" s="19"/>
      <c r="D25" s="19"/>
      <c r="E25" s="20">
        <f aca="true" t="shared" si="9" ref="E25:J25">E26+E27</f>
        <v>6594</v>
      </c>
      <c r="F25" s="20">
        <f t="shared" si="9"/>
        <v>6538</v>
      </c>
      <c r="G25" s="20">
        <f t="shared" si="9"/>
        <v>6289</v>
      </c>
      <c r="H25" s="20">
        <f t="shared" si="9"/>
        <v>5713</v>
      </c>
      <c r="I25" s="20">
        <f t="shared" si="9"/>
        <v>6484</v>
      </c>
      <c r="J25" s="20">
        <f t="shared" si="9"/>
        <v>6556</v>
      </c>
      <c r="K25" s="20">
        <f>K26+K27</f>
        <v>7660</v>
      </c>
      <c r="L25" s="20">
        <f aca="true" t="shared" si="10" ref="L25:Q25">L26+L27</f>
        <v>7497</v>
      </c>
      <c r="M25" s="20">
        <f t="shared" si="10"/>
        <v>7635</v>
      </c>
      <c r="N25" s="20">
        <f t="shared" si="10"/>
        <v>7658.33</v>
      </c>
      <c r="O25" s="20">
        <f t="shared" si="10"/>
        <v>8606</v>
      </c>
      <c r="P25" s="20">
        <f t="shared" si="10"/>
        <v>9013.242999999999</v>
      </c>
      <c r="Q25" s="20">
        <f t="shared" si="10"/>
        <v>9705.058</v>
      </c>
      <c r="R25" s="20">
        <v>10250</v>
      </c>
    </row>
    <row r="26" spans="1:18" ht="19.5" customHeight="1">
      <c r="A26" s="14"/>
      <c r="B26" s="4" t="s">
        <v>36</v>
      </c>
      <c r="C26" s="4"/>
      <c r="D26" s="4"/>
      <c r="E26" s="12">
        <v>3986</v>
      </c>
      <c r="F26" s="12">
        <v>3859</v>
      </c>
      <c r="G26" s="12">
        <v>3934</v>
      </c>
      <c r="H26" s="12">
        <v>3372</v>
      </c>
      <c r="I26" s="12">
        <v>3787</v>
      </c>
      <c r="J26" s="12">
        <v>4113</v>
      </c>
      <c r="K26" s="12">
        <v>4508</v>
      </c>
      <c r="L26" s="12">
        <v>4331</v>
      </c>
      <c r="M26" s="12">
        <v>4423</v>
      </c>
      <c r="N26" s="12">
        <v>4494.61</v>
      </c>
      <c r="O26" s="12">
        <v>5471</v>
      </c>
      <c r="P26" s="12">
        <f>5610168/1000</f>
        <v>5610.168</v>
      </c>
      <c r="Q26" s="58">
        <f>5890058/1000</f>
        <v>5890.058</v>
      </c>
      <c r="R26" s="12">
        <v>6467</v>
      </c>
    </row>
    <row r="27" spans="1:18" ht="19.5" customHeight="1" thickBot="1">
      <c r="A27" s="14"/>
      <c r="B27" s="4" t="s">
        <v>42</v>
      </c>
      <c r="C27" s="4"/>
      <c r="D27" s="4"/>
      <c r="E27" s="12">
        <v>2608</v>
      </c>
      <c r="F27" s="12">
        <v>2679</v>
      </c>
      <c r="G27" s="12">
        <v>2355</v>
      </c>
      <c r="H27" s="12">
        <v>2341</v>
      </c>
      <c r="I27" s="12">
        <v>2697</v>
      </c>
      <c r="J27" s="12">
        <v>2443</v>
      </c>
      <c r="K27" s="12">
        <v>3152</v>
      </c>
      <c r="L27" s="12">
        <v>3166</v>
      </c>
      <c r="M27" s="12">
        <v>3212</v>
      </c>
      <c r="N27" s="12">
        <v>3163.72</v>
      </c>
      <c r="O27" s="12">
        <v>3135</v>
      </c>
      <c r="P27" s="12">
        <f>3403075/1000</f>
        <v>3403.075</v>
      </c>
      <c r="Q27" s="58">
        <v>3815</v>
      </c>
      <c r="R27" s="12">
        <v>3783</v>
      </c>
    </row>
    <row r="28" spans="1:19" ht="19.5" customHeight="1" thickBot="1">
      <c r="A28" s="33" t="s">
        <v>14</v>
      </c>
      <c r="B28" s="34"/>
      <c r="C28" s="34"/>
      <c r="D28" s="34"/>
      <c r="E28" s="35">
        <v>3442</v>
      </c>
      <c r="F28" s="35">
        <v>3530.6899999999996</v>
      </c>
      <c r="G28" s="35">
        <v>2665</v>
      </c>
      <c r="H28" s="35">
        <v>3177.6580000000004</v>
      </c>
      <c r="I28" s="35">
        <v>2247.168</v>
      </c>
      <c r="J28" s="35">
        <v>2979</v>
      </c>
      <c r="K28" s="35">
        <v>2708</v>
      </c>
      <c r="L28" s="35">
        <v>3204</v>
      </c>
      <c r="M28" s="35">
        <v>3476</v>
      </c>
      <c r="N28" s="35">
        <v>3323</v>
      </c>
      <c r="O28" s="35">
        <v>4186.487000000001</v>
      </c>
      <c r="P28" s="35">
        <v>2972.9000000000005</v>
      </c>
      <c r="Q28" s="35">
        <f>(Q14-Q25)-(Q15+Q18+Q24)</f>
        <v>3812.0190000000002</v>
      </c>
      <c r="R28" s="35">
        <f>(R14-R25)-(R15+R18+R24)</f>
        <v>3832</v>
      </c>
      <c r="S28" s="6"/>
    </row>
    <row r="29" spans="5:18" ht="8.25" customHeight="1" thickBot="1"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0"/>
      <c r="R29" s="6"/>
    </row>
    <row r="30" spans="1:18" ht="29.25" customHeight="1" thickBot="1">
      <c r="A30" s="24" t="s">
        <v>18</v>
      </c>
      <c r="B30" s="25"/>
      <c r="C30" s="25"/>
      <c r="D30" s="26"/>
      <c r="E30" s="36"/>
      <c r="F30" s="36">
        <f>F25-E25</f>
        <v>-56</v>
      </c>
      <c r="G30" s="36">
        <f>G25-F25</f>
        <v>-249</v>
      </c>
      <c r="H30" s="36">
        <f>H25-G25</f>
        <v>-576</v>
      </c>
      <c r="I30" s="36">
        <f>I25-H25</f>
        <v>771</v>
      </c>
      <c r="J30" s="36">
        <f>J25-I25</f>
        <v>72</v>
      </c>
      <c r="K30" s="36">
        <f aca="true" t="shared" si="11" ref="K30:R30">K25-J25</f>
        <v>1104</v>
      </c>
      <c r="L30" s="36">
        <f t="shared" si="11"/>
        <v>-163</v>
      </c>
      <c r="M30" s="36">
        <f t="shared" si="11"/>
        <v>138</v>
      </c>
      <c r="N30" s="36">
        <f t="shared" si="11"/>
        <v>23.329999999999927</v>
      </c>
      <c r="O30" s="36">
        <f t="shared" si="11"/>
        <v>947.6700000000001</v>
      </c>
      <c r="P30" s="36">
        <f t="shared" si="11"/>
        <v>407.2429999999986</v>
      </c>
      <c r="Q30" s="36">
        <f t="shared" si="11"/>
        <v>691.8150000000023</v>
      </c>
      <c r="R30" s="51">
        <f t="shared" si="11"/>
        <v>544.9419999999991</v>
      </c>
    </row>
    <row r="31" ht="15.75" customHeight="1"/>
    <row r="32" spans="1:18" ht="15">
      <c r="A32" s="7" t="s">
        <v>20</v>
      </c>
      <c r="J32" s="2"/>
      <c r="M32" s="6"/>
      <c r="N32" s="6"/>
      <c r="O32" s="6"/>
      <c r="P32" s="6"/>
      <c r="Q32" s="6"/>
      <c r="R32" s="6"/>
    </row>
    <row r="34" spans="1:13" ht="15">
      <c r="A34" s="1" t="s">
        <v>43</v>
      </c>
      <c r="E34"/>
      <c r="F34"/>
      <c r="G34"/>
      <c r="H34"/>
      <c r="I34"/>
      <c r="J34"/>
      <c r="K34"/>
      <c r="L34"/>
      <c r="M34"/>
    </row>
    <row r="35" spans="5:13" ht="15">
      <c r="E35"/>
      <c r="F35"/>
      <c r="G35"/>
      <c r="H35"/>
      <c r="I35"/>
      <c r="J35"/>
      <c r="K35"/>
      <c r="L35"/>
      <c r="M35"/>
    </row>
    <row r="36" spans="5:13" ht="15">
      <c r="E36"/>
      <c r="F36"/>
      <c r="G36"/>
      <c r="H36"/>
      <c r="I36"/>
      <c r="J36"/>
      <c r="K36"/>
      <c r="L36"/>
      <c r="M36"/>
    </row>
    <row r="37" spans="5:13" ht="15">
      <c r="E37"/>
      <c r="F37"/>
      <c r="G37"/>
      <c r="H37"/>
      <c r="I37"/>
      <c r="J37"/>
      <c r="K37"/>
      <c r="L37"/>
      <c r="M37"/>
    </row>
    <row r="38" spans="5:13" ht="15">
      <c r="E38"/>
      <c r="F38"/>
      <c r="G38"/>
      <c r="H38"/>
      <c r="I38"/>
      <c r="J38"/>
      <c r="K38"/>
      <c r="L38"/>
      <c r="M38"/>
    </row>
    <row r="39" spans="5:13" ht="15">
      <c r="E39"/>
      <c r="F39"/>
      <c r="G39"/>
      <c r="H39"/>
      <c r="I39"/>
      <c r="J39"/>
      <c r="K39"/>
      <c r="L39"/>
      <c r="M39"/>
    </row>
  </sheetData>
  <sheetProtection/>
  <mergeCells count="2">
    <mergeCell ref="A5:D5"/>
    <mergeCell ref="E2:Q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38"/>
  <sheetViews>
    <sheetView zoomScalePageLayoutView="0" workbookViewId="0" topLeftCell="A1">
      <pane xSplit="4" ySplit="6" topLeftCell="E18" activePane="bottomRight" state="frozen"/>
      <selection pane="topLeft" activeCell="A1" sqref="A1"/>
      <selection pane="topRight" activeCell="D1" sqref="D1"/>
      <selection pane="bottomLeft" activeCell="A7" sqref="A7"/>
      <selection pane="bottomRight" activeCell="L9" sqref="L9"/>
    </sheetView>
  </sheetViews>
  <sheetFormatPr defaultColWidth="7.00390625" defaultRowHeight="15"/>
  <cols>
    <col min="1" max="1" width="4.140625" style="1" customWidth="1"/>
    <col min="2" max="2" width="2.421875" style="1" customWidth="1"/>
    <col min="3" max="3" width="3.140625" style="1" customWidth="1"/>
    <col min="4" max="4" width="25.28125" style="1" customWidth="1"/>
    <col min="5" max="9" width="10.7109375" style="2" customWidth="1"/>
    <col min="10" max="46" width="10.7109375" style="1" customWidth="1"/>
    <col min="47" max="16384" width="7.00390625" style="1" customWidth="1"/>
  </cols>
  <sheetData>
    <row r="1" spans="5:9" s="46" customFormat="1" ht="15" customHeight="1">
      <c r="E1" s="47"/>
      <c r="F1" s="47"/>
      <c r="G1" s="47"/>
      <c r="H1" s="47"/>
      <c r="I1" s="47"/>
    </row>
    <row r="2" spans="5:17" s="46" customFormat="1" ht="58.5" customHeight="1">
      <c r="E2" s="65" t="s">
        <v>54</v>
      </c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</row>
    <row r="3" spans="5:9" s="46" customFormat="1" ht="12.75" customHeight="1">
      <c r="E3" s="47"/>
      <c r="F3" s="47"/>
      <c r="G3" s="47"/>
      <c r="H3" s="47"/>
      <c r="I3" s="47"/>
    </row>
    <row r="4" ht="5.25" customHeight="1" thickBot="1"/>
    <row r="5" spans="1:18" s="3" customFormat="1" ht="29.25" customHeight="1" thickBot="1">
      <c r="A5" s="62" t="s">
        <v>0</v>
      </c>
      <c r="B5" s="63"/>
      <c r="C5" s="63"/>
      <c r="D5" s="64"/>
      <c r="E5" s="11" t="s">
        <v>10</v>
      </c>
      <c r="F5" s="11" t="s">
        <v>11</v>
      </c>
      <c r="G5" s="11" t="s">
        <v>19</v>
      </c>
      <c r="H5" s="11" t="s">
        <v>21</v>
      </c>
      <c r="I5" s="11" t="s">
        <v>23</v>
      </c>
      <c r="J5" s="11" t="s">
        <v>22</v>
      </c>
      <c r="K5" s="11" t="s">
        <v>28</v>
      </c>
      <c r="L5" s="11" t="s">
        <v>29</v>
      </c>
      <c r="M5" s="11" t="s">
        <v>30</v>
      </c>
      <c r="N5" s="11" t="s">
        <v>31</v>
      </c>
      <c r="O5" s="11" t="s">
        <v>32</v>
      </c>
      <c r="P5" s="11" t="s">
        <v>33</v>
      </c>
      <c r="Q5" s="11" t="s">
        <v>50</v>
      </c>
      <c r="R5" s="11" t="s">
        <v>49</v>
      </c>
    </row>
    <row r="6" spans="1:18" s="3" customFormat="1" ht="5.25" customHeight="1" thickBot="1">
      <c r="A6" s="13"/>
      <c r="B6" s="8"/>
      <c r="C6" s="8"/>
      <c r="D6" s="8"/>
      <c r="E6" s="9"/>
      <c r="F6" s="9"/>
      <c r="G6" s="9"/>
      <c r="H6" s="9"/>
      <c r="I6" s="9"/>
      <c r="J6" s="8"/>
      <c r="K6" s="8"/>
      <c r="L6" s="8"/>
      <c r="M6" s="8"/>
      <c r="N6" s="8"/>
      <c r="O6" s="8"/>
      <c r="P6" s="8"/>
      <c r="Q6" s="8"/>
      <c r="R6" s="8"/>
    </row>
    <row r="7" spans="1:18" ht="19.5" customHeight="1">
      <c r="A7" s="42" t="s">
        <v>24</v>
      </c>
      <c r="B7" s="43"/>
      <c r="C7" s="43"/>
      <c r="D7" s="43"/>
      <c r="E7" s="44">
        <f aca="true" t="shared" si="0" ref="E7:Q7">E8+E9</f>
        <v>2338</v>
      </c>
      <c r="F7" s="44">
        <f t="shared" si="0"/>
        <v>2408</v>
      </c>
      <c r="G7" s="44">
        <f t="shared" si="0"/>
        <v>2954</v>
      </c>
      <c r="H7" s="44">
        <f t="shared" si="0"/>
        <v>1716</v>
      </c>
      <c r="I7" s="44">
        <f t="shared" si="0"/>
        <v>2144</v>
      </c>
      <c r="J7" s="44">
        <f t="shared" si="0"/>
        <v>2118</v>
      </c>
      <c r="K7" s="44">
        <f t="shared" si="0"/>
        <v>2321</v>
      </c>
      <c r="L7" s="44">
        <f t="shared" si="0"/>
        <v>2210</v>
      </c>
      <c r="M7" s="44">
        <f t="shared" si="0"/>
        <v>2002</v>
      </c>
      <c r="N7" s="44">
        <f t="shared" si="0"/>
        <v>1716</v>
      </c>
      <c r="O7" s="44">
        <f t="shared" si="0"/>
        <v>1911</v>
      </c>
      <c r="P7" s="44">
        <f t="shared" si="0"/>
        <v>2161</v>
      </c>
      <c r="Q7" s="44">
        <f t="shared" si="0"/>
        <v>2267</v>
      </c>
      <c r="R7" s="44">
        <v>2102</v>
      </c>
    </row>
    <row r="8" spans="1:18" s="5" customFormat="1" ht="19.5" customHeight="1">
      <c r="A8" s="21"/>
      <c r="B8" s="22" t="s">
        <v>36</v>
      </c>
      <c r="C8" s="22"/>
      <c r="D8" s="22"/>
      <c r="E8" s="23">
        <v>1016</v>
      </c>
      <c r="F8" s="23">
        <v>1104</v>
      </c>
      <c r="G8" s="23">
        <v>1741</v>
      </c>
      <c r="H8" s="23">
        <v>907</v>
      </c>
      <c r="I8" s="23">
        <v>1203</v>
      </c>
      <c r="J8" s="23">
        <v>1106</v>
      </c>
      <c r="K8" s="23">
        <v>1123</v>
      </c>
      <c r="L8" s="23">
        <v>1216</v>
      </c>
      <c r="M8" s="23">
        <v>999</v>
      </c>
      <c r="N8" s="23">
        <v>911</v>
      </c>
      <c r="O8" s="23">
        <v>711</v>
      </c>
      <c r="P8" s="23">
        <v>860</v>
      </c>
      <c r="Q8" s="23">
        <v>789</v>
      </c>
      <c r="R8" s="23">
        <v>761</v>
      </c>
    </row>
    <row r="9" spans="1:18" s="5" customFormat="1" ht="19.5" customHeight="1">
      <c r="A9" s="21"/>
      <c r="B9" s="22" t="s">
        <v>37</v>
      </c>
      <c r="C9" s="22"/>
      <c r="D9" s="22"/>
      <c r="E9" s="23">
        <v>1322</v>
      </c>
      <c r="F9" s="23">
        <v>1304</v>
      </c>
      <c r="G9" s="23">
        <v>1213</v>
      </c>
      <c r="H9" s="23">
        <v>809</v>
      </c>
      <c r="I9" s="23">
        <v>941</v>
      </c>
      <c r="J9" s="23">
        <v>1012</v>
      </c>
      <c r="K9" s="23">
        <v>1198</v>
      </c>
      <c r="L9" s="23">
        <v>994</v>
      </c>
      <c r="M9" s="23">
        <v>1003</v>
      </c>
      <c r="N9" s="23">
        <v>805</v>
      </c>
      <c r="O9" s="23">
        <v>1200</v>
      </c>
      <c r="P9" s="23">
        <v>1301</v>
      </c>
      <c r="Q9" s="23">
        <v>1478</v>
      </c>
      <c r="R9" s="23">
        <v>1341</v>
      </c>
    </row>
    <row r="10" spans="1:18" ht="19.5" customHeight="1">
      <c r="A10" s="18" t="s">
        <v>25</v>
      </c>
      <c r="B10" s="19"/>
      <c r="C10" s="19"/>
      <c r="D10" s="19"/>
      <c r="E10" s="20">
        <v>1615</v>
      </c>
      <c r="F10" s="20">
        <v>2121</v>
      </c>
      <c r="G10" s="20">
        <v>1520</v>
      </c>
      <c r="H10" s="20">
        <v>2048</v>
      </c>
      <c r="I10" s="20">
        <v>1502</v>
      </c>
      <c r="J10" s="20">
        <v>1430</v>
      </c>
      <c r="K10" s="20">
        <v>1510</v>
      </c>
      <c r="L10" s="20">
        <v>1121</v>
      </c>
      <c r="M10" s="20">
        <v>1202</v>
      </c>
      <c r="N10" s="20">
        <v>834</v>
      </c>
      <c r="O10" s="20">
        <v>766</v>
      </c>
      <c r="P10" s="20">
        <v>629</v>
      </c>
      <c r="Q10" s="20">
        <v>773</v>
      </c>
      <c r="R10" s="20">
        <v>554</v>
      </c>
    </row>
    <row r="11" spans="1:18" ht="19.5" customHeight="1">
      <c r="A11" s="18" t="s">
        <v>26</v>
      </c>
      <c r="B11" s="19"/>
      <c r="C11" s="19"/>
      <c r="D11" s="19"/>
      <c r="E11" s="20">
        <f aca="true" t="shared" si="1" ref="E11:P11">E12+E13</f>
        <v>1038</v>
      </c>
      <c r="F11" s="20">
        <f t="shared" si="1"/>
        <v>1481</v>
      </c>
      <c r="G11" s="20">
        <f t="shared" si="1"/>
        <v>1413</v>
      </c>
      <c r="H11" s="20">
        <f t="shared" si="1"/>
        <v>1159</v>
      </c>
      <c r="I11" s="20">
        <f t="shared" si="1"/>
        <v>1858</v>
      </c>
      <c r="J11" s="20">
        <f t="shared" si="1"/>
        <v>2129</v>
      </c>
      <c r="K11" s="20">
        <f t="shared" si="1"/>
        <v>1619</v>
      </c>
      <c r="L11" s="20">
        <f t="shared" si="1"/>
        <v>1192</v>
      </c>
      <c r="M11" s="20">
        <f t="shared" si="1"/>
        <v>1531</v>
      </c>
      <c r="N11" s="20">
        <f t="shared" si="1"/>
        <v>2701.464</v>
      </c>
      <c r="O11" s="20">
        <f t="shared" si="1"/>
        <v>2548.398</v>
      </c>
      <c r="P11" s="20">
        <f t="shared" si="1"/>
        <v>2754</v>
      </c>
      <c r="Q11" s="20">
        <v>2655</v>
      </c>
      <c r="R11" s="20">
        <v>2103</v>
      </c>
    </row>
    <row r="12" spans="1:18" s="5" customFormat="1" ht="19.5" customHeight="1">
      <c r="A12" s="21"/>
      <c r="B12" s="22" t="s">
        <v>34</v>
      </c>
      <c r="C12" s="22"/>
      <c r="D12" s="22"/>
      <c r="E12" s="23">
        <v>1030</v>
      </c>
      <c r="F12" s="23">
        <v>1478</v>
      </c>
      <c r="G12" s="23">
        <v>1410</v>
      </c>
      <c r="H12" s="23">
        <v>1156</v>
      </c>
      <c r="I12" s="23">
        <v>1855</v>
      </c>
      <c r="J12" s="23">
        <v>2128</v>
      </c>
      <c r="K12" s="23">
        <v>1616</v>
      </c>
      <c r="L12" s="23">
        <v>1191</v>
      </c>
      <c r="M12" s="23">
        <v>1530</v>
      </c>
      <c r="N12" s="23">
        <v>2699.75</v>
      </c>
      <c r="O12" s="23">
        <v>2546.992</v>
      </c>
      <c r="P12" s="23">
        <v>2752</v>
      </c>
      <c r="Q12" s="23">
        <v>2653</v>
      </c>
      <c r="R12" s="23">
        <v>2102</v>
      </c>
    </row>
    <row r="13" spans="1:18" s="5" customFormat="1" ht="19.5" customHeight="1" thickBot="1">
      <c r="A13" s="21"/>
      <c r="B13" s="22" t="s">
        <v>35</v>
      </c>
      <c r="C13" s="22"/>
      <c r="D13" s="22"/>
      <c r="E13" s="23">
        <v>8</v>
      </c>
      <c r="F13" s="23">
        <v>3</v>
      </c>
      <c r="G13" s="41">
        <v>3</v>
      </c>
      <c r="H13" s="23">
        <v>3</v>
      </c>
      <c r="I13" s="23">
        <v>3</v>
      </c>
      <c r="J13" s="23">
        <v>1</v>
      </c>
      <c r="K13" s="23">
        <v>3</v>
      </c>
      <c r="L13" s="23">
        <v>1</v>
      </c>
      <c r="M13" s="23">
        <v>1</v>
      </c>
      <c r="N13" s="23">
        <v>1.714</v>
      </c>
      <c r="O13" s="23">
        <v>1.406</v>
      </c>
      <c r="P13" s="23">
        <v>2</v>
      </c>
      <c r="Q13" s="23">
        <v>2</v>
      </c>
      <c r="R13" s="23">
        <v>1</v>
      </c>
    </row>
    <row r="14" spans="1:20" s="5" customFormat="1" ht="19.5" customHeight="1" thickBot="1">
      <c r="A14" s="16" t="s">
        <v>12</v>
      </c>
      <c r="B14" s="17"/>
      <c r="C14" s="17"/>
      <c r="D14" s="17"/>
      <c r="E14" s="15">
        <f aca="true" t="shared" si="2" ref="E14:J14">E7+E10+E11</f>
        <v>4991</v>
      </c>
      <c r="F14" s="15">
        <f t="shared" si="2"/>
        <v>6010</v>
      </c>
      <c r="G14" s="15">
        <f t="shared" si="2"/>
        <v>5887</v>
      </c>
      <c r="H14" s="15">
        <f t="shared" si="2"/>
        <v>4923</v>
      </c>
      <c r="I14" s="15">
        <f t="shared" si="2"/>
        <v>5504</v>
      </c>
      <c r="J14" s="15">
        <f t="shared" si="2"/>
        <v>5677</v>
      </c>
      <c r="K14" s="15">
        <f>K7+K10+K11</f>
        <v>5450</v>
      </c>
      <c r="L14" s="15">
        <f aca="true" t="shared" si="3" ref="L14:Q14">L7+L10+L11</f>
        <v>4523</v>
      </c>
      <c r="M14" s="15">
        <f t="shared" si="3"/>
        <v>4735</v>
      </c>
      <c r="N14" s="15">
        <f t="shared" si="3"/>
        <v>5251.464</v>
      </c>
      <c r="O14" s="15">
        <f t="shared" si="3"/>
        <v>5225.398</v>
      </c>
      <c r="P14" s="15">
        <f t="shared" si="3"/>
        <v>5544</v>
      </c>
      <c r="Q14" s="15">
        <f t="shared" si="3"/>
        <v>5695</v>
      </c>
      <c r="R14" s="15">
        <v>4759</v>
      </c>
      <c r="S14" s="53"/>
      <c r="T14" s="53"/>
    </row>
    <row r="15" spans="1:18" ht="19.5" customHeight="1">
      <c r="A15" s="27" t="s">
        <v>13</v>
      </c>
      <c r="B15" s="28"/>
      <c r="C15" s="28"/>
      <c r="D15" s="28"/>
      <c r="E15" s="29">
        <f aca="true" t="shared" si="4" ref="E15:J15">E16+E17</f>
        <v>1434</v>
      </c>
      <c r="F15" s="29">
        <f t="shared" si="4"/>
        <v>1371</v>
      </c>
      <c r="G15" s="29">
        <f t="shared" si="4"/>
        <v>1614</v>
      </c>
      <c r="H15" s="29">
        <f t="shared" si="4"/>
        <v>1650</v>
      </c>
      <c r="I15" s="29">
        <f t="shared" si="4"/>
        <v>1229</v>
      </c>
      <c r="J15" s="29">
        <f t="shared" si="4"/>
        <v>1221</v>
      </c>
      <c r="K15" s="29">
        <f>K16+K17</f>
        <v>1097</v>
      </c>
      <c r="L15" s="29">
        <f>L16+L17</f>
        <v>1111</v>
      </c>
      <c r="M15" s="29">
        <f>M16+M17</f>
        <v>1279</v>
      </c>
      <c r="N15" s="29">
        <f>N16+N17</f>
        <v>1134.897</v>
      </c>
      <c r="O15" s="29">
        <f>O16+O17</f>
        <v>1124</v>
      </c>
      <c r="P15" s="29">
        <f>P16+P17</f>
        <v>1144</v>
      </c>
      <c r="Q15" s="29">
        <v>1167</v>
      </c>
      <c r="R15" s="29">
        <v>880</v>
      </c>
    </row>
    <row r="16" spans="1:18" ht="19.5" customHeight="1">
      <c r="A16" s="14"/>
      <c r="B16" s="22" t="s">
        <v>34</v>
      </c>
      <c r="C16" s="22"/>
      <c r="D16" s="22"/>
      <c r="E16" s="23">
        <v>941</v>
      </c>
      <c r="F16" s="23">
        <v>630</v>
      </c>
      <c r="G16" s="23">
        <v>708</v>
      </c>
      <c r="H16" s="23">
        <v>858</v>
      </c>
      <c r="I16" s="23">
        <v>436</v>
      </c>
      <c r="J16" s="23">
        <v>422</v>
      </c>
      <c r="K16" s="23">
        <v>547</v>
      </c>
      <c r="L16" s="23">
        <v>571</v>
      </c>
      <c r="M16" s="23">
        <v>725</v>
      </c>
      <c r="N16" s="23">
        <v>522.082</v>
      </c>
      <c r="O16" s="23">
        <v>433</v>
      </c>
      <c r="P16" s="23">
        <v>437</v>
      </c>
      <c r="Q16" s="23">
        <v>407</v>
      </c>
      <c r="R16" s="23">
        <v>304</v>
      </c>
    </row>
    <row r="17" spans="1:18" ht="19.5" customHeight="1">
      <c r="A17" s="14"/>
      <c r="B17" s="22" t="s">
        <v>27</v>
      </c>
      <c r="C17" s="22"/>
      <c r="D17" s="22"/>
      <c r="E17" s="23">
        <v>493</v>
      </c>
      <c r="F17" s="23">
        <v>741</v>
      </c>
      <c r="G17" s="23">
        <v>906</v>
      </c>
      <c r="H17" s="23">
        <v>792</v>
      </c>
      <c r="I17" s="23">
        <v>793</v>
      </c>
      <c r="J17" s="23">
        <v>799</v>
      </c>
      <c r="K17" s="23">
        <v>550</v>
      </c>
      <c r="L17" s="23">
        <v>540</v>
      </c>
      <c r="M17" s="23">
        <v>554</v>
      </c>
      <c r="N17" s="23">
        <v>612.815</v>
      </c>
      <c r="O17" s="23">
        <v>691</v>
      </c>
      <c r="P17" s="23">
        <v>707</v>
      </c>
      <c r="Q17" s="23">
        <v>760</v>
      </c>
      <c r="R17" s="23">
        <v>577</v>
      </c>
    </row>
    <row r="18" spans="1:18" ht="19.5" customHeight="1">
      <c r="A18" s="30" t="s">
        <v>15</v>
      </c>
      <c r="B18" s="31"/>
      <c r="C18" s="31"/>
      <c r="D18" s="31"/>
      <c r="E18" s="32">
        <f aca="true" t="shared" si="5" ref="E18:J18">E19+E22</f>
        <v>358</v>
      </c>
      <c r="F18" s="32">
        <f t="shared" si="5"/>
        <v>315</v>
      </c>
      <c r="G18" s="32">
        <f t="shared" si="5"/>
        <v>222</v>
      </c>
      <c r="H18" s="32">
        <f t="shared" si="5"/>
        <v>140</v>
      </c>
      <c r="I18" s="32">
        <f t="shared" si="5"/>
        <v>111</v>
      </c>
      <c r="J18" s="32">
        <f t="shared" si="5"/>
        <v>162</v>
      </c>
      <c r="K18" s="32">
        <f>K19+K22</f>
        <v>163.66000000000003</v>
      </c>
      <c r="L18" s="32">
        <f aca="true" t="shared" si="6" ref="L18:Q18">L19+L22</f>
        <v>136</v>
      </c>
      <c r="M18" s="32">
        <f t="shared" si="6"/>
        <v>139</v>
      </c>
      <c r="N18" s="32">
        <f t="shared" si="6"/>
        <v>135</v>
      </c>
      <c r="O18" s="32">
        <f t="shared" si="6"/>
        <v>113.89</v>
      </c>
      <c r="P18" s="32">
        <f t="shared" si="6"/>
        <v>70</v>
      </c>
      <c r="Q18" s="32">
        <f t="shared" si="6"/>
        <v>96</v>
      </c>
      <c r="R18" s="32">
        <f>R19+R22</f>
        <v>89</v>
      </c>
    </row>
    <row r="19" spans="1:18" ht="19.5" customHeight="1">
      <c r="A19" s="14"/>
      <c r="B19" s="4" t="s">
        <v>40</v>
      </c>
      <c r="C19" s="4"/>
      <c r="D19" s="4"/>
      <c r="E19" s="12">
        <f aca="true" t="shared" si="7" ref="E19:J19">E20+E21</f>
        <v>335</v>
      </c>
      <c r="F19" s="12">
        <f t="shared" si="7"/>
        <v>272</v>
      </c>
      <c r="G19" s="12">
        <f t="shared" si="7"/>
        <v>199</v>
      </c>
      <c r="H19" s="12">
        <f t="shared" si="7"/>
        <v>107</v>
      </c>
      <c r="I19" s="12">
        <f t="shared" si="7"/>
        <v>79</v>
      </c>
      <c r="J19" s="12">
        <f t="shared" si="7"/>
        <v>87</v>
      </c>
      <c r="K19" s="12">
        <f>K20+K21</f>
        <v>87.07000000000001</v>
      </c>
      <c r="L19" s="12">
        <f aca="true" t="shared" si="8" ref="L19:Q19">L20+L21</f>
        <v>64</v>
      </c>
      <c r="M19" s="12">
        <f t="shared" si="8"/>
        <v>68</v>
      </c>
      <c r="N19" s="12">
        <f t="shared" si="8"/>
        <v>52</v>
      </c>
      <c r="O19" s="12">
        <f t="shared" si="8"/>
        <v>41.33</v>
      </c>
      <c r="P19" s="12">
        <f t="shared" si="8"/>
        <v>7</v>
      </c>
      <c r="Q19" s="12">
        <f t="shared" si="8"/>
        <v>44</v>
      </c>
      <c r="R19" s="12">
        <f>R20</f>
        <v>35</v>
      </c>
    </row>
    <row r="20" spans="1:18" ht="19.5" customHeight="1">
      <c r="A20" s="14"/>
      <c r="C20" s="4" t="s">
        <v>39</v>
      </c>
      <c r="D20" s="4"/>
      <c r="E20" s="12">
        <v>159</v>
      </c>
      <c r="F20" s="12">
        <v>93</v>
      </c>
      <c r="G20" s="12">
        <v>81</v>
      </c>
      <c r="H20" s="12">
        <v>107</v>
      </c>
      <c r="I20" s="12">
        <v>79</v>
      </c>
      <c r="J20" s="12">
        <v>87</v>
      </c>
      <c r="K20" s="12">
        <v>76.51</v>
      </c>
      <c r="L20" s="12">
        <v>57</v>
      </c>
      <c r="M20" s="12">
        <v>60</v>
      </c>
      <c r="N20" s="12">
        <v>45</v>
      </c>
      <c r="O20" s="12">
        <v>39.55</v>
      </c>
      <c r="P20" s="12">
        <v>7</v>
      </c>
      <c r="Q20" s="12">
        <v>44</v>
      </c>
      <c r="R20" s="12">
        <v>35</v>
      </c>
    </row>
    <row r="21" spans="1:18" ht="19.5" customHeight="1">
      <c r="A21" s="14"/>
      <c r="C21" s="4" t="s">
        <v>38</v>
      </c>
      <c r="D21" s="4"/>
      <c r="E21" s="12">
        <v>176</v>
      </c>
      <c r="F21" s="12">
        <v>179</v>
      </c>
      <c r="G21" s="12">
        <v>118</v>
      </c>
      <c r="H21" s="12"/>
      <c r="I21" s="12"/>
      <c r="J21" s="12"/>
      <c r="K21" s="12">
        <v>10.56</v>
      </c>
      <c r="L21" s="12">
        <v>7</v>
      </c>
      <c r="M21" s="12">
        <v>8</v>
      </c>
      <c r="N21" s="12">
        <v>7</v>
      </c>
      <c r="O21" s="12">
        <v>1.78</v>
      </c>
      <c r="P21" s="12"/>
      <c r="Q21" s="12"/>
      <c r="R21" s="12">
        <v>0.4</v>
      </c>
    </row>
    <row r="22" spans="1:18" ht="19.5" customHeight="1">
      <c r="A22" s="38"/>
      <c r="B22" s="39" t="s">
        <v>41</v>
      </c>
      <c r="C22" s="39"/>
      <c r="D22" s="39"/>
      <c r="E22" s="40">
        <v>23</v>
      </c>
      <c r="F22" s="40">
        <v>43</v>
      </c>
      <c r="G22" s="40">
        <v>23</v>
      </c>
      <c r="H22" s="40">
        <v>33</v>
      </c>
      <c r="I22" s="40">
        <v>32</v>
      </c>
      <c r="J22" s="40">
        <v>75</v>
      </c>
      <c r="K22" s="40">
        <v>76.59</v>
      </c>
      <c r="L22" s="40">
        <v>72</v>
      </c>
      <c r="M22" s="40">
        <v>71</v>
      </c>
      <c r="N22" s="40">
        <v>83</v>
      </c>
      <c r="O22" s="40">
        <v>72.56</v>
      </c>
      <c r="P22" s="40">
        <v>63</v>
      </c>
      <c r="Q22" s="40">
        <v>52</v>
      </c>
      <c r="R22" s="40">
        <v>54</v>
      </c>
    </row>
    <row r="23" spans="1:18" ht="19.5" customHeight="1">
      <c r="A23" s="37" t="s">
        <v>16</v>
      </c>
      <c r="D23" s="4"/>
      <c r="E23" s="12">
        <v>4</v>
      </c>
      <c r="F23" s="12">
        <v>5</v>
      </c>
      <c r="G23" s="12">
        <v>4</v>
      </c>
      <c r="H23" s="12">
        <v>4</v>
      </c>
      <c r="I23" s="12">
        <v>4</v>
      </c>
      <c r="J23" s="12">
        <v>4</v>
      </c>
      <c r="K23" s="12">
        <v>4</v>
      </c>
      <c r="L23" s="12">
        <v>5</v>
      </c>
      <c r="M23" s="12">
        <v>4</v>
      </c>
      <c r="N23" s="12">
        <v>4</v>
      </c>
      <c r="O23" s="12">
        <v>4</v>
      </c>
      <c r="P23" s="12">
        <v>4</v>
      </c>
      <c r="Q23" s="12">
        <v>5</v>
      </c>
      <c r="R23" s="12">
        <v>5</v>
      </c>
    </row>
    <row r="24" spans="1:20" ht="19.5" customHeight="1">
      <c r="A24" s="18" t="s">
        <v>17</v>
      </c>
      <c r="B24" s="19"/>
      <c r="C24" s="19"/>
      <c r="D24" s="19"/>
      <c r="E24" s="20">
        <f aca="true" t="shared" si="9" ref="E24:J24">E25+E26</f>
        <v>2405</v>
      </c>
      <c r="F24" s="20">
        <f t="shared" si="9"/>
        <v>2954</v>
      </c>
      <c r="G24" s="20">
        <f t="shared" si="9"/>
        <v>1716</v>
      </c>
      <c r="H24" s="20">
        <f t="shared" si="9"/>
        <v>2144</v>
      </c>
      <c r="I24" s="20">
        <f t="shared" si="9"/>
        <v>2118</v>
      </c>
      <c r="J24" s="20">
        <f t="shared" si="9"/>
        <v>2321</v>
      </c>
      <c r="K24" s="20">
        <f>K25+K26</f>
        <v>2210</v>
      </c>
      <c r="L24" s="20">
        <f aca="true" t="shared" si="10" ref="L24:Q24">L25+L26</f>
        <v>2002</v>
      </c>
      <c r="M24" s="20">
        <f t="shared" si="10"/>
        <v>1716</v>
      </c>
      <c r="N24" s="20">
        <f t="shared" si="10"/>
        <v>1911</v>
      </c>
      <c r="O24" s="20">
        <f t="shared" si="10"/>
        <v>2161</v>
      </c>
      <c r="P24" s="20">
        <f t="shared" si="10"/>
        <v>2267</v>
      </c>
      <c r="Q24" s="20">
        <f t="shared" si="10"/>
        <v>2101.851</v>
      </c>
      <c r="R24" s="20">
        <v>2079</v>
      </c>
      <c r="S24" s="6"/>
      <c r="T24" s="6"/>
    </row>
    <row r="25" spans="1:18" ht="19.5" customHeight="1">
      <c r="A25" s="14"/>
      <c r="B25" s="4" t="s">
        <v>36</v>
      </c>
      <c r="C25" s="4"/>
      <c r="D25" s="4"/>
      <c r="E25" s="12">
        <v>1101</v>
      </c>
      <c r="F25" s="12">
        <v>1741</v>
      </c>
      <c r="G25" s="12">
        <v>907</v>
      </c>
      <c r="H25" s="12">
        <v>1203</v>
      </c>
      <c r="I25" s="12">
        <v>1106</v>
      </c>
      <c r="J25" s="12">
        <v>1111</v>
      </c>
      <c r="K25" s="12">
        <v>1216</v>
      </c>
      <c r="L25" s="12">
        <v>999</v>
      </c>
      <c r="M25" s="12">
        <v>911</v>
      </c>
      <c r="N25" s="12">
        <v>711</v>
      </c>
      <c r="O25" s="12">
        <v>860</v>
      </c>
      <c r="P25" s="12">
        <v>789</v>
      </c>
      <c r="Q25" s="12">
        <v>761.076</v>
      </c>
      <c r="R25" s="12">
        <v>740</v>
      </c>
    </row>
    <row r="26" spans="1:18" ht="19.5" customHeight="1" thickBot="1">
      <c r="A26" s="14"/>
      <c r="B26" s="4" t="s">
        <v>42</v>
      </c>
      <c r="C26" s="4"/>
      <c r="D26" s="4"/>
      <c r="E26" s="12">
        <v>1304</v>
      </c>
      <c r="F26" s="12">
        <v>1213</v>
      </c>
      <c r="G26" s="12">
        <v>809</v>
      </c>
      <c r="H26" s="12">
        <v>941</v>
      </c>
      <c r="I26" s="12">
        <v>1012</v>
      </c>
      <c r="J26" s="12">
        <v>1210</v>
      </c>
      <c r="K26" s="12">
        <v>994</v>
      </c>
      <c r="L26" s="12">
        <v>1003</v>
      </c>
      <c r="M26" s="12">
        <v>805</v>
      </c>
      <c r="N26" s="12">
        <v>1200</v>
      </c>
      <c r="O26" s="12">
        <v>1301</v>
      </c>
      <c r="P26" s="12">
        <v>1478</v>
      </c>
      <c r="Q26" s="12">
        <v>1340.775</v>
      </c>
      <c r="R26" s="12">
        <v>1339</v>
      </c>
    </row>
    <row r="27" spans="1:20" ht="19.5" customHeight="1" thickBot="1">
      <c r="A27" s="33" t="s">
        <v>14</v>
      </c>
      <c r="B27" s="34"/>
      <c r="C27" s="34"/>
      <c r="D27" s="34"/>
      <c r="E27" s="35">
        <v>1283</v>
      </c>
      <c r="F27" s="35">
        <v>1362.1599999999999</v>
      </c>
      <c r="G27" s="35">
        <v>2331</v>
      </c>
      <c r="H27" s="35">
        <v>985</v>
      </c>
      <c r="I27" s="35">
        <v>2042</v>
      </c>
      <c r="J27" s="35">
        <v>1960</v>
      </c>
      <c r="K27" s="35">
        <v>1978</v>
      </c>
      <c r="L27" s="35">
        <v>2069</v>
      </c>
      <c r="M27" s="35">
        <v>1598</v>
      </c>
      <c r="N27" s="35">
        <v>2067</v>
      </c>
      <c r="O27" s="35">
        <v>1822</v>
      </c>
      <c r="P27" s="35">
        <v>2058</v>
      </c>
      <c r="Q27" s="35">
        <f>(Q14-Q24)-(Q15+Q18+Q23)</f>
        <v>2325.149</v>
      </c>
      <c r="R27" s="35">
        <f>(R14-R24)-(R15+R18+R23)</f>
        <v>1706</v>
      </c>
      <c r="S27" s="6"/>
      <c r="T27" s="6"/>
    </row>
    <row r="28" spans="5:18" ht="8.25" customHeight="1" thickBot="1"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</row>
    <row r="29" spans="1:18" ht="29.25" customHeight="1" thickBot="1">
      <c r="A29" s="24" t="s">
        <v>18</v>
      </c>
      <c r="B29" s="25"/>
      <c r="C29" s="25"/>
      <c r="D29" s="26"/>
      <c r="E29" s="36">
        <v>-131</v>
      </c>
      <c r="F29" s="36">
        <v>493</v>
      </c>
      <c r="G29" s="36">
        <f>G24-F24</f>
        <v>-1238</v>
      </c>
      <c r="H29" s="36">
        <f>H24-G24</f>
        <v>428</v>
      </c>
      <c r="I29" s="36">
        <f>I24-H24</f>
        <v>-26</v>
      </c>
      <c r="J29" s="36">
        <f>J24-I24</f>
        <v>203</v>
      </c>
      <c r="K29" s="36">
        <f aca="true" t="shared" si="11" ref="K29:R29">K24-J24</f>
        <v>-111</v>
      </c>
      <c r="L29" s="36">
        <f t="shared" si="11"/>
        <v>-208</v>
      </c>
      <c r="M29" s="36">
        <f t="shared" si="11"/>
        <v>-286</v>
      </c>
      <c r="N29" s="36">
        <f t="shared" si="11"/>
        <v>195</v>
      </c>
      <c r="O29" s="36">
        <f t="shared" si="11"/>
        <v>250</v>
      </c>
      <c r="P29" s="36">
        <f t="shared" si="11"/>
        <v>106</v>
      </c>
      <c r="Q29" s="36">
        <f t="shared" si="11"/>
        <v>-165.1489999999999</v>
      </c>
      <c r="R29" s="52">
        <f t="shared" si="11"/>
        <v>-22.851000000000113</v>
      </c>
    </row>
    <row r="30" ht="15.75" customHeight="1"/>
    <row r="31" spans="1:10" ht="15">
      <c r="A31" s="7" t="s">
        <v>20</v>
      </c>
      <c r="J31" s="2"/>
    </row>
    <row r="33" spans="1:13" ht="15">
      <c r="A33" s="1" t="s">
        <v>43</v>
      </c>
      <c r="E33"/>
      <c r="F33"/>
      <c r="G33"/>
      <c r="H33"/>
      <c r="I33"/>
      <c r="J33"/>
      <c r="K33"/>
      <c r="L33"/>
      <c r="M33"/>
    </row>
    <row r="34" spans="5:13" ht="15">
      <c r="E34"/>
      <c r="F34"/>
      <c r="G34"/>
      <c r="H34"/>
      <c r="I34"/>
      <c r="J34"/>
      <c r="K34"/>
      <c r="L34"/>
      <c r="M34"/>
    </row>
    <row r="35" spans="5:13" ht="15">
      <c r="E35"/>
      <c r="F35"/>
      <c r="G35"/>
      <c r="H35"/>
      <c r="I35"/>
      <c r="J35"/>
      <c r="K35"/>
      <c r="L35"/>
      <c r="M35"/>
    </row>
    <row r="36" spans="5:13" ht="15">
      <c r="E36"/>
      <c r="F36"/>
      <c r="G36"/>
      <c r="H36"/>
      <c r="I36"/>
      <c r="J36"/>
      <c r="K36"/>
      <c r="L36"/>
      <c r="M36"/>
    </row>
    <row r="37" spans="5:13" ht="15">
      <c r="E37"/>
      <c r="F37"/>
      <c r="G37"/>
      <c r="H37"/>
      <c r="I37"/>
      <c r="J37"/>
      <c r="K37"/>
      <c r="L37"/>
      <c r="M37"/>
    </row>
    <row r="38" spans="5:13" ht="15">
      <c r="E38"/>
      <c r="F38"/>
      <c r="G38"/>
      <c r="H38"/>
      <c r="I38"/>
      <c r="J38"/>
      <c r="K38"/>
      <c r="L38"/>
      <c r="M38"/>
    </row>
  </sheetData>
  <sheetProtection/>
  <mergeCells count="2">
    <mergeCell ref="A5:D5"/>
    <mergeCell ref="E2:Q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José  Pereira</dc:creator>
  <cp:keywords/>
  <dc:description/>
  <cp:lastModifiedBy>Maria João Lima</cp:lastModifiedBy>
  <dcterms:created xsi:type="dcterms:W3CDTF">2013-04-03T14:45:58Z</dcterms:created>
  <dcterms:modified xsi:type="dcterms:W3CDTF">2024-03-06T11:54:36Z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